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xml" ContentType="application/vnd.openxmlformats-officedocument.drawing+xml"/>
  <Override PartName="/xl/comments4.xml" ContentType="application/vnd.openxmlformats-officedocument.spreadsheetml.comment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9.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mc:AlternateContent xmlns:mc="http://schemas.openxmlformats.org/markup-compatibility/2006">
    <mc:Choice Requires="x15">
      <x15ac:absPath xmlns:x15ac="http://schemas.microsoft.com/office/spreadsheetml/2010/11/ac" url="E:\Escritorio\OneDrive - lamaria.gov.co\Escritorio\PARA PUBLICAR\"/>
    </mc:Choice>
  </mc:AlternateContent>
  <xr:revisionPtr revIDLastSave="0" documentId="8_{B51E8112-6676-4110-9D48-2667DD03709B}" xr6:coauthVersionLast="47" xr6:coauthVersionMax="47" xr10:uidLastSave="{00000000-0000-0000-0000-000000000000}"/>
  <bookViews>
    <workbookView xWindow="-120" yWindow="-120" windowWidth="29040" windowHeight="15720" tabRatio="581" xr2:uid="{00000000-000D-0000-FFFF-FFFF00000000}"/>
  </bookViews>
  <sheets>
    <sheet name="POAI 2024 " sheetId="5" r:id="rId1"/>
    <sheet name="medición " sheetId="39" state="hidden" r:id="rId2"/>
    <sheet name="cosolidado act" sheetId="41" state="hidden" r:id="rId3"/>
    <sheet name="graficas" sheetId="40" state="hidden" r:id="rId4"/>
    <sheet name="CONSOLIDADO" sheetId="36" state="hidden" r:id="rId5"/>
    <sheet name="RESUMEN" sheetId="38" state="hidden" r:id="rId6"/>
    <sheet name="PRESE" sheetId="37" state="hidden" r:id="rId7"/>
    <sheet name="consolidado activ trimestres" sheetId="31" state="hidden" r:id="rId8"/>
    <sheet name="consolidad finaciero2022" sheetId="30" state="hidden" r:id="rId9"/>
    <sheet name="PLAN DE GESTIÓN" sheetId="34" state="hidden" r:id="rId10"/>
    <sheet name="avances del plan" sheetId="32" state="hidden" r:id="rId11"/>
    <sheet name="GRAFICOS" sheetId="35" state="hidden" r:id="rId12"/>
    <sheet name="LINEA 1_x0009_SEGUIMIENTO DEL PLAN OP" sheetId="14" state="hidden" r:id="rId13"/>
    <sheet name="LINEA 2 SEGUIMIENTO DEL POAI" sheetId="15" state="hidden" r:id="rId14"/>
    <sheet name="LINEA3 SEGUIMIENTO DE POAI" sheetId="19" state="hidden" r:id="rId15"/>
    <sheet name="LINEA 4 SEGUIMIENTO DEL POAI" sheetId="20" state="hidden" r:id="rId16"/>
    <sheet name="LINEA5 SEGUIMIENTO POAI" sheetId="21" state="hidden" r:id="rId17"/>
    <sheet name="LINEA 6 SEGUIMIENTO DEL POAI" sheetId="22" state="hidden" r:id="rId18"/>
    <sheet name="LINEA7 SEGUIMIENTO DEL POAI " sheetId="23" state="hidden" r:id="rId19"/>
    <sheet name="LINEA8 SEGUIMIENTO DEL POAI" sheetId="24" state="hidden" r:id="rId20"/>
    <sheet name="RESUMEN LINEAS-POAI" sheetId="25" state="hidden" r:id="rId21"/>
    <sheet name="COSOLIDADO POAI" sheetId="26" state="hidden" r:id="rId22"/>
    <sheet name="PRESENTACIÓN" sheetId="27" state="hidden" r:id="rId23"/>
    <sheet name="DESGLOSE LINEA 2" sheetId="29" state="hidden" r:id="rId24"/>
    <sheet name="DESGLOSE LINEA 3" sheetId="28" state="hidden" r:id="rId25"/>
  </sheets>
  <externalReferences>
    <externalReference r:id="rId26"/>
    <externalReference r:id="rId27"/>
    <externalReference r:id="rId28"/>
    <externalReference r:id="rId29"/>
  </externalReferences>
  <definedNames>
    <definedName name="_xlnm._FilterDatabase" localSheetId="0" hidden="1">'POAI 2024 '!$A$6:$BC$170</definedName>
    <definedName name="Administrativos">'[1]Datos seguridad social'!$C$5:$C$515</definedName>
    <definedName name="asignacionbasica">'[1]Datos seguridad social'!$J$5:$J$515</definedName>
    <definedName name="Asistenciales">'[1]Datos seguridad social'!$D$5:$D$515</definedName>
    <definedName name="Extras">'[1]Datos seguridad social'!$K$5:$K$515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5" l="1"/>
  <c r="Y171" i="5"/>
  <c r="Z223" i="5" s="1"/>
  <c r="Z12" i="5"/>
  <c r="E71" i="37"/>
  <c r="Z157" i="5"/>
  <c r="Z15" i="5" l="1"/>
  <c r="Z16" i="39"/>
  <c r="Z10" i="39"/>
  <c r="Z3" i="39"/>
  <c r="Z5" i="39"/>
  <c r="Z6" i="39"/>
  <c r="Z4" i="39"/>
  <c r="O61" i="39"/>
  <c r="M60" i="39"/>
  <c r="U51" i="39"/>
  <c r="T51" i="39"/>
  <c r="S51" i="39"/>
  <c r="R51" i="39"/>
  <c r="U44" i="39" l="1"/>
  <c r="T44" i="39"/>
  <c r="S44" i="39"/>
  <c r="R44" i="39"/>
  <c r="U39" i="39"/>
  <c r="T39" i="39"/>
  <c r="S39" i="39"/>
  <c r="R39" i="39"/>
  <c r="S33" i="39"/>
  <c r="R33" i="39"/>
  <c r="U33" i="39"/>
  <c r="T33" i="39"/>
  <c r="U27" i="39"/>
  <c r="S27" i="39"/>
  <c r="R27" i="39"/>
  <c r="R19" i="39"/>
  <c r="S19" i="39"/>
  <c r="U19" i="39"/>
  <c r="R13" i="39"/>
  <c r="T19" i="39"/>
  <c r="U12" i="39"/>
  <c r="S13" i="39"/>
  <c r="S7" i="39"/>
  <c r="R7" i="39"/>
  <c r="U5" i="39"/>
  <c r="U6" i="39"/>
  <c r="U4" i="39"/>
  <c r="U7" i="39" s="1"/>
  <c r="T6" i="39"/>
  <c r="T5" i="39"/>
  <c r="T7" i="39" s="1"/>
  <c r="T4" i="39"/>
  <c r="T27" i="39" l="1"/>
  <c r="T13" i="39"/>
  <c r="M7" i="39" l="1"/>
  <c r="M19" i="39"/>
  <c r="M27" i="39"/>
  <c r="M33" i="39"/>
  <c r="M44" i="39"/>
  <c r="M51" i="39"/>
  <c r="L51" i="39"/>
  <c r="L19" i="39"/>
  <c r="O19" i="39"/>
  <c r="N19" i="39"/>
  <c r="N51" i="39"/>
  <c r="O51" i="39"/>
  <c r="O44" i="39"/>
  <c r="N44" i="39"/>
  <c r="L44" i="39"/>
  <c r="L39" i="39"/>
  <c r="O33" i="39"/>
  <c r="M39" i="39" l="1"/>
  <c r="O39" i="39"/>
  <c r="N39" i="39"/>
  <c r="O27" i="39" l="1"/>
  <c r="O12" i="39"/>
  <c r="N12" i="39"/>
  <c r="L12" i="39"/>
  <c r="L13" i="39" s="1"/>
  <c r="M13" i="39"/>
  <c r="L11" i="39"/>
  <c r="O5" i="39"/>
  <c r="O7" i="39" s="1"/>
  <c r="O6" i="39"/>
  <c r="O4" i="39"/>
  <c r="N4" i="39"/>
  <c r="N6" i="39"/>
  <c r="L5" i="39"/>
  <c r="N5" i="39" s="1"/>
  <c r="N7" i="39" s="1"/>
  <c r="L6" i="39"/>
  <c r="L4" i="39"/>
  <c r="AK188" i="5"/>
  <c r="I51" i="39"/>
  <c r="I44" i="39"/>
  <c r="I33" i="39"/>
  <c r="I19" i="39"/>
  <c r="I12" i="39"/>
  <c r="I5" i="39"/>
  <c r="I6" i="39"/>
  <c r="I4" i="39"/>
  <c r="D3" i="39"/>
  <c r="E3" i="39"/>
  <c r="G3" i="39"/>
  <c r="C3" i="39"/>
  <c r="D10" i="39"/>
  <c r="E10" i="39"/>
  <c r="G10" i="39"/>
  <c r="D16" i="39"/>
  <c r="E16" i="39"/>
  <c r="G16" i="39"/>
  <c r="C16" i="39"/>
  <c r="D22" i="39"/>
  <c r="E22" i="39"/>
  <c r="C22" i="39"/>
  <c r="D30" i="39"/>
  <c r="E30" i="39"/>
  <c r="G30" i="39"/>
  <c r="C30" i="39"/>
  <c r="D36" i="39"/>
  <c r="E36" i="39"/>
  <c r="F36" i="39"/>
  <c r="G36" i="39"/>
  <c r="C36" i="39"/>
  <c r="D42" i="39"/>
  <c r="E42" i="39"/>
  <c r="G42" i="39"/>
  <c r="C42" i="39"/>
  <c r="E47" i="39"/>
  <c r="G47" i="39"/>
  <c r="D47" i="39"/>
  <c r="C47" i="39"/>
  <c r="H44" i="39"/>
  <c r="G22" i="39"/>
  <c r="F12" i="39"/>
  <c r="H12" i="39" s="1"/>
  <c r="O11" i="39" l="1"/>
  <c r="O13" i="39" s="1"/>
  <c r="N27" i="39"/>
  <c r="L27" i="39"/>
  <c r="N33" i="39"/>
  <c r="C10" i="39"/>
  <c r="U11" i="39"/>
  <c r="U13" i="39" s="1"/>
  <c r="I7" i="39"/>
  <c r="L7" i="39"/>
  <c r="N11" i="39"/>
  <c r="N13" i="39" s="1"/>
  <c r="L33" i="39"/>
  <c r="I27" i="39"/>
  <c r="I11" i="39"/>
  <c r="I13" i="39" s="1"/>
  <c r="F16" i="39"/>
  <c r="F22" i="39"/>
  <c r="F30" i="39"/>
  <c r="F47" i="39"/>
  <c r="F42" i="39"/>
  <c r="H51" i="39"/>
  <c r="H33" i="39"/>
  <c r="H19" i="39"/>
  <c r="H27" i="39"/>
  <c r="F6" i="39"/>
  <c r="H6" i="39" s="1"/>
  <c r="L91" i="41"/>
  <c r="J91" i="41"/>
  <c r="E91" i="41"/>
  <c r="C91" i="41"/>
  <c r="B91" i="41"/>
  <c r="O89" i="41"/>
  <c r="N89" i="41"/>
  <c r="D89" i="41"/>
  <c r="F89" i="41" s="1"/>
  <c r="K89" i="41" s="1"/>
  <c r="M89" i="41" s="1"/>
  <c r="O88" i="41"/>
  <c r="N88" i="41"/>
  <c r="D88" i="41"/>
  <c r="F88" i="41" s="1"/>
  <c r="K88" i="41" s="1"/>
  <c r="M88" i="41" s="1"/>
  <c r="O87" i="41"/>
  <c r="N87" i="41"/>
  <c r="D87" i="41"/>
  <c r="F87" i="41" s="1"/>
  <c r="K87" i="41" s="1"/>
  <c r="M87" i="41" s="1"/>
  <c r="O86" i="41"/>
  <c r="N86" i="41"/>
  <c r="D86" i="41"/>
  <c r="F86" i="41" s="1"/>
  <c r="K86" i="41" s="1"/>
  <c r="M86" i="41" s="1"/>
  <c r="O84" i="41"/>
  <c r="N84" i="41"/>
  <c r="D84" i="41"/>
  <c r="F84" i="41" s="1"/>
  <c r="K84" i="41" s="1"/>
  <c r="M84" i="41" s="1"/>
  <c r="O83" i="41"/>
  <c r="N83" i="41"/>
  <c r="D83" i="41"/>
  <c r="F83" i="41" s="1"/>
  <c r="K83" i="41" s="1"/>
  <c r="M83" i="41" s="1"/>
  <c r="O81" i="41"/>
  <c r="N81" i="41"/>
  <c r="D81" i="41"/>
  <c r="F81" i="41" s="1"/>
  <c r="K81" i="41" s="1"/>
  <c r="M81" i="41" s="1"/>
  <c r="O80" i="41"/>
  <c r="N80" i="41"/>
  <c r="D80" i="41"/>
  <c r="F80" i="41" s="1"/>
  <c r="K80" i="41" s="1"/>
  <c r="M80" i="41" s="1"/>
  <c r="O79" i="41"/>
  <c r="N79" i="41"/>
  <c r="D79" i="41"/>
  <c r="F79" i="41" s="1"/>
  <c r="K79" i="41" s="1"/>
  <c r="M79" i="41" s="1"/>
  <c r="O77" i="41"/>
  <c r="N77" i="41"/>
  <c r="D77" i="41"/>
  <c r="F77" i="41" s="1"/>
  <c r="K77" i="41" s="1"/>
  <c r="M77" i="41" s="1"/>
  <c r="O76" i="41"/>
  <c r="N76" i="41"/>
  <c r="D76" i="41"/>
  <c r="F76" i="41" s="1"/>
  <c r="K76" i="41" s="1"/>
  <c r="M76" i="41" s="1"/>
  <c r="O75" i="41"/>
  <c r="N75" i="41"/>
  <c r="D75" i="41"/>
  <c r="F75" i="41" s="1"/>
  <c r="K75" i="41" s="1"/>
  <c r="M75" i="41" s="1"/>
  <c r="AD73" i="41"/>
  <c r="AA73" i="41"/>
  <c r="Z73" i="41"/>
  <c r="Y73" i="41"/>
  <c r="N73" i="41"/>
  <c r="O73" i="41" s="1"/>
  <c r="D73" i="41"/>
  <c r="F73" i="41" s="1"/>
  <c r="K73" i="41" s="1"/>
  <c r="M73" i="41" s="1"/>
  <c r="N72" i="41"/>
  <c r="O72" i="41" s="1"/>
  <c r="D72" i="41"/>
  <c r="F72" i="41" s="1"/>
  <c r="K72" i="41" s="1"/>
  <c r="M72" i="41" s="1"/>
  <c r="N71" i="41"/>
  <c r="O71" i="41" s="1"/>
  <c r="D71" i="41"/>
  <c r="F71" i="41" s="1"/>
  <c r="K71" i="41" s="1"/>
  <c r="M71" i="41" s="1"/>
  <c r="W70" i="41"/>
  <c r="V70" i="41"/>
  <c r="N70" i="41"/>
  <c r="O70" i="41" s="1"/>
  <c r="D70" i="41"/>
  <c r="F70" i="41" s="1"/>
  <c r="K70" i="41" s="1"/>
  <c r="M70" i="41" s="1"/>
  <c r="N69" i="41"/>
  <c r="O69" i="41" s="1"/>
  <c r="D69" i="41"/>
  <c r="F69" i="41" s="1"/>
  <c r="K69" i="41" s="1"/>
  <c r="M69" i="41" s="1"/>
  <c r="N67" i="41"/>
  <c r="O67" i="41" s="1"/>
  <c r="D67" i="41"/>
  <c r="F67" i="41" s="1"/>
  <c r="K67" i="41" s="1"/>
  <c r="M67" i="41" s="1"/>
  <c r="N66" i="41"/>
  <c r="O66" i="41" s="1"/>
  <c r="D66" i="41"/>
  <c r="F66" i="41" s="1"/>
  <c r="K66" i="41" s="1"/>
  <c r="M66" i="41" s="1"/>
  <c r="Y64" i="41"/>
  <c r="W64" i="41"/>
  <c r="N64" i="41"/>
  <c r="O64" i="41" s="1"/>
  <c r="D64" i="41"/>
  <c r="F64" i="41" s="1"/>
  <c r="K64" i="41" s="1"/>
  <c r="M64" i="41" s="1"/>
  <c r="N63" i="41"/>
  <c r="O63" i="41" s="1"/>
  <c r="D63" i="41"/>
  <c r="F63" i="41" s="1"/>
  <c r="K63" i="41" s="1"/>
  <c r="M63" i="41" s="1"/>
  <c r="N61" i="41"/>
  <c r="O61" i="41" s="1"/>
  <c r="D61" i="41"/>
  <c r="F61" i="41" s="1"/>
  <c r="K61" i="41" s="1"/>
  <c r="M61" i="41" s="1"/>
  <c r="N60" i="41"/>
  <c r="O60" i="41" s="1"/>
  <c r="D60" i="41"/>
  <c r="F60" i="41" s="1"/>
  <c r="K60" i="41" s="1"/>
  <c r="M60" i="41" s="1"/>
  <c r="N59" i="41"/>
  <c r="O59" i="41" s="1"/>
  <c r="D59" i="41"/>
  <c r="F59" i="41" s="1"/>
  <c r="K59" i="41" s="1"/>
  <c r="M59" i="41" s="1"/>
  <c r="N58" i="41"/>
  <c r="O58" i="41" s="1"/>
  <c r="D58" i="41"/>
  <c r="AN52" i="41"/>
  <c r="X52" i="41"/>
  <c r="U47" i="41"/>
  <c r="V46" i="41"/>
  <c r="N45" i="41"/>
  <c r="D43" i="41"/>
  <c r="E43" i="41" s="1"/>
  <c r="AN10" i="41"/>
  <c r="AP10" i="41" s="1"/>
  <c r="AE10" i="41"/>
  <c r="AN9" i="41"/>
  <c r="AP9" i="41" s="1"/>
  <c r="AE9" i="41"/>
  <c r="AN8" i="41"/>
  <c r="AP8" i="41" s="1"/>
  <c r="AE8" i="41"/>
  <c r="F11" i="39"/>
  <c r="F5" i="39"/>
  <c r="H5" i="39" s="1"/>
  <c r="F4" i="39"/>
  <c r="R56" i="39" l="1"/>
  <c r="U42" i="41"/>
  <c r="W57" i="41" s="1"/>
  <c r="N91" i="41"/>
  <c r="C42" i="41"/>
  <c r="G42" i="41"/>
  <c r="H52" i="41" s="1"/>
  <c r="V42" i="41"/>
  <c r="B42" i="41"/>
  <c r="AO41" i="41"/>
  <c r="D91" i="41"/>
  <c r="H4" i="39"/>
  <c r="H7" i="39" s="1"/>
  <c r="F3" i="39"/>
  <c r="H11" i="39"/>
  <c r="H13" i="39" s="1"/>
  <c r="F10" i="39"/>
  <c r="L42" i="41"/>
  <c r="AQ12" i="41"/>
  <c r="AQ30" i="41"/>
  <c r="O91" i="41"/>
  <c r="K42" i="41"/>
  <c r="AQ16" i="41"/>
  <c r="AQ7" i="41"/>
  <c r="F58" i="41"/>
  <c r="S56" i="39" l="1"/>
  <c r="W42" i="41"/>
  <c r="Z57" i="41"/>
  <c r="X57" i="41"/>
  <c r="Y57" i="41" s="1"/>
  <c r="AB42" i="41"/>
  <c r="AE73" i="41" s="1"/>
  <c r="AQ37" i="41"/>
  <c r="X42" i="41"/>
  <c r="AC42" i="41"/>
  <c r="AE42" i="41" s="1"/>
  <c r="Q56" i="39"/>
  <c r="F91" i="41"/>
  <c r="K58" i="41"/>
  <c r="AQ20" i="41"/>
  <c r="M42" i="41"/>
  <c r="N42" i="41"/>
  <c r="AQ26" i="41"/>
  <c r="E42" i="41"/>
  <c r="D42" i="41"/>
  <c r="AF73" i="41" l="1"/>
  <c r="AG73" i="41" s="1"/>
  <c r="AD42" i="41"/>
  <c r="AN41" i="41"/>
  <c r="M58" i="41"/>
  <c r="M91" i="41" s="1"/>
  <c r="K91" i="41"/>
  <c r="F43" i="41"/>
  <c r="AA57" i="41"/>
  <c r="AB57" i="41" s="1"/>
  <c r="F42" i="41"/>
  <c r="E72" i="37" l="1"/>
  <c r="E9" i="37"/>
  <c r="H22" i="38"/>
  <c r="F18" i="38"/>
  <c r="E18" i="38"/>
  <c r="D18" i="38"/>
  <c r="C18" i="38"/>
  <c r="F17" i="38"/>
  <c r="E17" i="38"/>
  <c r="D17" i="38"/>
  <c r="C17" i="38"/>
  <c r="F15" i="38"/>
  <c r="E15" i="38"/>
  <c r="D15" i="38"/>
  <c r="C15" i="38"/>
  <c r="F14" i="38"/>
  <c r="E14" i="38"/>
  <c r="D14" i="38"/>
  <c r="C14" i="38"/>
  <c r="F13" i="38"/>
  <c r="E13" i="38"/>
  <c r="D13" i="38"/>
  <c r="C13" i="38"/>
  <c r="F12" i="38"/>
  <c r="E12" i="38"/>
  <c r="D12" i="38"/>
  <c r="C12" i="38"/>
  <c r="F11" i="38"/>
  <c r="E11" i="38"/>
  <c r="D11" i="38"/>
  <c r="C11" i="38"/>
  <c r="F10" i="38"/>
  <c r="E10" i="38"/>
  <c r="D10" i="38"/>
  <c r="C10" i="38"/>
  <c r="G9" i="38"/>
  <c r="F8" i="38"/>
  <c r="E8" i="38"/>
  <c r="D8" i="38"/>
  <c r="C8" i="38"/>
  <c r="F7" i="38"/>
  <c r="E7" i="38"/>
  <c r="D7" i="38"/>
  <c r="C7" i="38"/>
  <c r="F6" i="38"/>
  <c r="E6" i="38"/>
  <c r="D6" i="38"/>
  <c r="C6" i="38"/>
  <c r="F5" i="38"/>
  <c r="E5" i="38"/>
  <c r="D5" i="38"/>
  <c r="C5" i="38"/>
  <c r="F4" i="38"/>
  <c r="E4" i="38"/>
  <c r="D4" i="38"/>
  <c r="C4" i="38"/>
  <c r="F3" i="38"/>
  <c r="E3" i="38"/>
  <c r="D3" i="38"/>
  <c r="C3" i="38"/>
  <c r="F2" i="38"/>
  <c r="E2" i="38"/>
  <c r="D2" i="38"/>
  <c r="C2" i="38"/>
  <c r="E54" i="37" l="1"/>
  <c r="G4" i="38"/>
  <c r="G18" i="38"/>
  <c r="H18" i="38" s="1"/>
  <c r="D22" i="38"/>
  <c r="E22" i="38"/>
  <c r="G6" i="38"/>
  <c r="G13" i="38"/>
  <c r="G17" i="38"/>
  <c r="H17" i="38" s="1"/>
  <c r="F22" i="38"/>
  <c r="G10" i="38"/>
  <c r="G5" i="38"/>
  <c r="G8" i="38"/>
  <c r="G15" i="38"/>
  <c r="H15" i="38" s="1"/>
  <c r="G12" i="38"/>
  <c r="C22" i="38"/>
  <c r="G7" i="38"/>
  <c r="G14" i="38"/>
  <c r="G3" i="38"/>
  <c r="G11" i="38"/>
  <c r="E39" i="37"/>
  <c r="E23" i="37"/>
  <c r="G2" i="38"/>
  <c r="G22" i="38" l="1"/>
  <c r="I22" i="38" s="1"/>
  <c r="H7" i="38"/>
  <c r="H5" i="38"/>
  <c r="H9" i="38"/>
  <c r="H13" i="38"/>
  <c r="G20" i="38"/>
  <c r="H2" i="38"/>
  <c r="H20" i="38" l="1"/>
  <c r="E95" i="37"/>
  <c r="C109" i="37" s="1"/>
  <c r="E82" i="37"/>
  <c r="C108" i="37" s="1"/>
  <c r="E73" i="37"/>
  <c r="C107" i="37" s="1"/>
  <c r="E64" i="37"/>
  <c r="C106" i="37" s="1"/>
  <c r="C105" i="37"/>
  <c r="C103" i="37"/>
  <c r="C104" i="37"/>
  <c r="E11" i="37"/>
  <c r="C102" i="37" s="1"/>
  <c r="C110" i="37" l="1"/>
  <c r="D112" i="37" s="1"/>
  <c r="C23" i="36" l="1"/>
  <c r="F19" i="36" s="1"/>
  <c r="D20" i="36"/>
  <c r="E20" i="36" s="1"/>
  <c r="D19" i="36"/>
  <c r="E19" i="36" s="1"/>
  <c r="D17" i="36"/>
  <c r="E17" i="36" s="1"/>
  <c r="D15" i="36"/>
  <c r="E15" i="36" s="1"/>
  <c r="D11" i="36"/>
  <c r="E13" i="36" s="1"/>
  <c r="D9" i="36"/>
  <c r="E10" i="36" s="1"/>
  <c r="D7" i="36"/>
  <c r="E8" i="36" s="1"/>
  <c r="D4" i="36"/>
  <c r="Z141" i="5"/>
  <c r="Z132" i="5"/>
  <c r="E14" i="36" l="1"/>
  <c r="D23" i="36"/>
  <c r="E12" i="36"/>
  <c r="F11" i="36"/>
  <c r="F4" i="36"/>
  <c r="F17" i="36"/>
  <c r="F7" i="36"/>
  <c r="F15" i="36"/>
  <c r="F20" i="36"/>
  <c r="E16" i="36"/>
  <c r="E6" i="36"/>
  <c r="E9" i="36"/>
  <c r="F9" i="36"/>
  <c r="E5" i="36"/>
  <c r="E7" i="36"/>
  <c r="E4" i="36"/>
  <c r="Z101" i="5"/>
  <c r="C9" i="30"/>
  <c r="F23" i="36" l="1"/>
  <c r="E43" i="31"/>
  <c r="I38" i="31"/>
  <c r="I35" i="31"/>
  <c r="I32" i="31"/>
  <c r="I31" i="31"/>
  <c r="I28" i="31"/>
  <c r="I27" i="31"/>
  <c r="I24" i="31"/>
  <c r="I23" i="31"/>
  <c r="I22" i="31"/>
  <c r="I21" i="31"/>
  <c r="I18" i="31"/>
  <c r="I14" i="31"/>
  <c r="I13" i="31"/>
  <c r="I9" i="31"/>
  <c r="I10" i="31"/>
  <c r="I8" i="31"/>
  <c r="G37" i="31"/>
  <c r="G34" i="31"/>
  <c r="I34" i="31" s="1"/>
  <c r="G30" i="31"/>
  <c r="I30" i="31" s="1"/>
  <c r="G26" i="31"/>
  <c r="I26" i="31" s="1"/>
  <c r="G20" i="31"/>
  <c r="I20" i="31" s="1"/>
  <c r="G17" i="31"/>
  <c r="G16" i="31" s="1"/>
  <c r="I16" i="31" s="1"/>
  <c r="G12" i="31"/>
  <c r="I12" i="31" s="1"/>
  <c r="G7" i="31"/>
  <c r="I7" i="31" s="1"/>
  <c r="C20" i="31"/>
  <c r="D20" i="31"/>
  <c r="B20" i="31"/>
  <c r="F24" i="31"/>
  <c r="E24" i="31"/>
  <c r="F23" i="31"/>
  <c r="E23" i="31"/>
  <c r="F22" i="31"/>
  <c r="E22" i="31"/>
  <c r="F21" i="31"/>
  <c r="E21" i="31"/>
  <c r="C26" i="31"/>
  <c r="D26" i="31"/>
  <c r="B26" i="31"/>
  <c r="F28" i="31"/>
  <c r="E28" i="31"/>
  <c r="F27" i="31"/>
  <c r="E27" i="31"/>
  <c r="E26" i="31" l="1"/>
  <c r="F26" i="31"/>
  <c r="G42" i="31"/>
  <c r="H54" i="31" s="1"/>
  <c r="F20" i="31"/>
  <c r="E20" i="31"/>
  <c r="I17" i="31"/>
  <c r="C37" i="31"/>
  <c r="D37" i="31"/>
  <c r="B37" i="31"/>
  <c r="F38" i="31"/>
  <c r="E38" i="31"/>
  <c r="F40" i="31"/>
  <c r="E40" i="31"/>
  <c r="F39" i="31"/>
  <c r="E39" i="31"/>
  <c r="E34" i="31"/>
  <c r="F35" i="31"/>
  <c r="F34" i="31" s="1"/>
  <c r="E35" i="31"/>
  <c r="F31" i="31"/>
  <c r="F30" i="31" s="1"/>
  <c r="E31" i="31"/>
  <c r="E32" i="31"/>
  <c r="C30" i="31"/>
  <c r="D30" i="31"/>
  <c r="B30" i="31"/>
  <c r="F17" i="31"/>
  <c r="F18" i="31"/>
  <c r="C16" i="31"/>
  <c r="D16" i="31"/>
  <c r="B16" i="31"/>
  <c r="E18" i="31"/>
  <c r="E17" i="31"/>
  <c r="O46" i="34"/>
  <c r="J46" i="34"/>
  <c r="C12" i="31"/>
  <c r="D12" i="31"/>
  <c r="B12" i="31"/>
  <c r="E12" i="31" s="1"/>
  <c r="F14" i="31"/>
  <c r="F13" i="31"/>
  <c r="E14" i="31"/>
  <c r="E13" i="31"/>
  <c r="AD188" i="5"/>
  <c r="D7" i="31"/>
  <c r="C7" i="31"/>
  <c r="F9" i="31"/>
  <c r="F10" i="31"/>
  <c r="E10" i="31"/>
  <c r="E9" i="31"/>
  <c r="E8" i="31"/>
  <c r="B7" i="31"/>
  <c r="J41" i="34"/>
  <c r="F41" i="34"/>
  <c r="B41" i="34"/>
  <c r="H41" i="34"/>
  <c r="E41" i="34"/>
  <c r="D46" i="34" s="1"/>
  <c r="F46" i="34" s="1"/>
  <c r="K41" i="34"/>
  <c r="I41" i="34"/>
  <c r="C41" i="34"/>
  <c r="A46" i="34" s="1"/>
  <c r="J181" i="32"/>
  <c r="J180" i="32"/>
  <c r="I180" i="32"/>
  <c r="K179" i="32"/>
  <c r="L178" i="32"/>
  <c r="G178" i="32"/>
  <c r="F178" i="32"/>
  <c r="E178" i="32"/>
  <c r="D178" i="32"/>
  <c r="G177" i="32"/>
  <c r="F177" i="32"/>
  <c r="E177" i="32"/>
  <c r="D177" i="32"/>
  <c r="G172" i="32"/>
  <c r="F172" i="32"/>
  <c r="E172" i="32"/>
  <c r="D172" i="32"/>
  <c r="G171" i="32"/>
  <c r="F171" i="32"/>
  <c r="E171" i="32"/>
  <c r="D171" i="32"/>
  <c r="G170" i="32"/>
  <c r="F170" i="32"/>
  <c r="E170" i="32"/>
  <c r="D170" i="32"/>
  <c r="G169" i="32"/>
  <c r="F169" i="32"/>
  <c r="E169" i="32"/>
  <c r="D169" i="32"/>
  <c r="G168" i="32"/>
  <c r="F168" i="32"/>
  <c r="E168" i="32"/>
  <c r="D168" i="32"/>
  <c r="G167" i="32"/>
  <c r="F167" i="32"/>
  <c r="E167" i="32"/>
  <c r="D167" i="32"/>
  <c r="G166" i="32"/>
  <c r="F166" i="32"/>
  <c r="E166" i="32"/>
  <c r="D166" i="32"/>
  <c r="G164" i="32"/>
  <c r="F164" i="32"/>
  <c r="E164" i="32"/>
  <c r="D164" i="32"/>
  <c r="G161" i="32"/>
  <c r="F161" i="32"/>
  <c r="E161" i="32"/>
  <c r="D161" i="32"/>
  <c r="G160" i="32"/>
  <c r="F160" i="32"/>
  <c r="E160" i="32"/>
  <c r="D160" i="32"/>
  <c r="G152" i="32"/>
  <c r="F152" i="32"/>
  <c r="E152" i="32"/>
  <c r="D152" i="32"/>
  <c r="G148" i="32"/>
  <c r="F148" i="32"/>
  <c r="E148" i="32"/>
  <c r="D148" i="32"/>
  <c r="G145" i="32"/>
  <c r="F145" i="32"/>
  <c r="E145" i="32"/>
  <c r="D145" i="32"/>
  <c r="G143" i="32"/>
  <c r="F143" i="32"/>
  <c r="E143" i="32"/>
  <c r="D143" i="32"/>
  <c r="G127" i="32"/>
  <c r="F127" i="32"/>
  <c r="E127" i="32"/>
  <c r="D127" i="32"/>
  <c r="G120" i="32"/>
  <c r="F120" i="32"/>
  <c r="E120" i="32"/>
  <c r="D120" i="32"/>
  <c r="G119" i="32"/>
  <c r="F119" i="32"/>
  <c r="E119" i="32"/>
  <c r="D119" i="32"/>
  <c r="G118" i="32"/>
  <c r="F118" i="32"/>
  <c r="E118" i="32"/>
  <c r="D118" i="32"/>
  <c r="G107" i="32"/>
  <c r="F107" i="32"/>
  <c r="E107" i="32"/>
  <c r="D107" i="32"/>
  <c r="G101" i="32"/>
  <c r="F101" i="32"/>
  <c r="E101" i="32"/>
  <c r="D101" i="32"/>
  <c r="G100" i="32"/>
  <c r="F100" i="32"/>
  <c r="E100" i="32"/>
  <c r="D100" i="32"/>
  <c r="G82" i="32"/>
  <c r="F82" i="32"/>
  <c r="E82" i="32"/>
  <c r="D82" i="32"/>
  <c r="K43" i="32"/>
  <c r="K42" i="32"/>
  <c r="G36" i="32"/>
  <c r="F36" i="32"/>
  <c r="E36" i="32"/>
  <c r="D36" i="32"/>
  <c r="G35" i="32"/>
  <c r="F35" i="32"/>
  <c r="E35" i="32"/>
  <c r="D35" i="32"/>
  <c r="K32" i="32"/>
  <c r="G26" i="32"/>
  <c r="F26" i="32"/>
  <c r="E26" i="32"/>
  <c r="D26" i="32"/>
  <c r="G24" i="32"/>
  <c r="F24" i="32"/>
  <c r="E24" i="32"/>
  <c r="D24" i="32"/>
  <c r="G23" i="32"/>
  <c r="F23" i="32"/>
  <c r="E23" i="32"/>
  <c r="D23" i="32"/>
  <c r="G21" i="32"/>
  <c r="F21" i="32"/>
  <c r="E21" i="32"/>
  <c r="D21" i="32"/>
  <c r="G19" i="32"/>
  <c r="F19" i="32"/>
  <c r="E19" i="32"/>
  <c r="D19" i="32"/>
  <c r="G18" i="32"/>
  <c r="F18" i="32"/>
  <c r="E18" i="32"/>
  <c r="D18" i="32"/>
  <c r="G17" i="32"/>
  <c r="F17" i="32"/>
  <c r="E17" i="32"/>
  <c r="D17" i="32"/>
  <c r="G16" i="32"/>
  <c r="F16" i="32"/>
  <c r="E16" i="32"/>
  <c r="D16" i="32"/>
  <c r="G15" i="32"/>
  <c r="F15" i="32"/>
  <c r="E15" i="32"/>
  <c r="D15" i="32"/>
  <c r="G11" i="32"/>
  <c r="F11" i="32"/>
  <c r="E11" i="32"/>
  <c r="D11" i="32"/>
  <c r="G10" i="32"/>
  <c r="F10" i="32"/>
  <c r="E10" i="32"/>
  <c r="D10" i="32"/>
  <c r="G9" i="32"/>
  <c r="F9" i="32"/>
  <c r="E9" i="32"/>
  <c r="D9" i="32"/>
  <c r="G7" i="32"/>
  <c r="F7" i="32"/>
  <c r="E7" i="32"/>
  <c r="D7" i="32"/>
  <c r="G6" i="32"/>
  <c r="F6" i="32"/>
  <c r="E6" i="32"/>
  <c r="D6" i="32"/>
  <c r="G5" i="32"/>
  <c r="F5" i="32"/>
  <c r="E5" i="32"/>
  <c r="D5" i="32"/>
  <c r="L93" i="31"/>
  <c r="J93" i="31"/>
  <c r="E93" i="31"/>
  <c r="C93" i="31"/>
  <c r="B93" i="31"/>
  <c r="N91" i="31"/>
  <c r="O91" i="31" s="1"/>
  <c r="D91" i="31"/>
  <c r="F91" i="31" s="1"/>
  <c r="K91" i="31" s="1"/>
  <c r="M91" i="31" s="1"/>
  <c r="N90" i="31"/>
  <c r="O90" i="31" s="1"/>
  <c r="D90" i="31"/>
  <c r="F90" i="31" s="1"/>
  <c r="K90" i="31" s="1"/>
  <c r="M90" i="31" s="1"/>
  <c r="N89" i="31"/>
  <c r="O89" i="31" s="1"/>
  <c r="D89" i="31"/>
  <c r="F89" i="31" s="1"/>
  <c r="K89" i="31" s="1"/>
  <c r="M89" i="31" s="1"/>
  <c r="N88" i="31"/>
  <c r="O88" i="31" s="1"/>
  <c r="D88" i="31"/>
  <c r="F88" i="31" s="1"/>
  <c r="K88" i="31" s="1"/>
  <c r="M88" i="31" s="1"/>
  <c r="N86" i="31"/>
  <c r="O86" i="31" s="1"/>
  <c r="D86" i="31"/>
  <c r="F86" i="31" s="1"/>
  <c r="K86" i="31" s="1"/>
  <c r="M86" i="31" s="1"/>
  <c r="N85" i="31"/>
  <c r="O85" i="31" s="1"/>
  <c r="D85" i="31"/>
  <c r="F85" i="31" s="1"/>
  <c r="K85" i="31" s="1"/>
  <c r="M85" i="31" s="1"/>
  <c r="N83" i="31"/>
  <c r="O83" i="31" s="1"/>
  <c r="D83" i="31"/>
  <c r="F83" i="31" s="1"/>
  <c r="K83" i="31" s="1"/>
  <c r="M83" i="31" s="1"/>
  <c r="N82" i="31"/>
  <c r="O82" i="31" s="1"/>
  <c r="D82" i="31"/>
  <c r="F82" i="31" s="1"/>
  <c r="K82" i="31" s="1"/>
  <c r="M82" i="31" s="1"/>
  <c r="N81" i="31"/>
  <c r="O81" i="31" s="1"/>
  <c r="D81" i="31"/>
  <c r="F81" i="31" s="1"/>
  <c r="K81" i="31" s="1"/>
  <c r="M81" i="31" s="1"/>
  <c r="N79" i="31"/>
  <c r="O79" i="31" s="1"/>
  <c r="D79" i="31"/>
  <c r="F79" i="31" s="1"/>
  <c r="K79" i="31" s="1"/>
  <c r="M79" i="31" s="1"/>
  <c r="N78" i="31"/>
  <c r="O78" i="31" s="1"/>
  <c r="D78" i="31"/>
  <c r="F78" i="31" s="1"/>
  <c r="K78" i="31" s="1"/>
  <c r="M78" i="31" s="1"/>
  <c r="N77" i="31"/>
  <c r="O77" i="31" s="1"/>
  <c r="D77" i="31"/>
  <c r="F77" i="31" s="1"/>
  <c r="K77" i="31" s="1"/>
  <c r="M77" i="31" s="1"/>
  <c r="AD75" i="31"/>
  <c r="AA75" i="31"/>
  <c r="Z75" i="31"/>
  <c r="Y75" i="31"/>
  <c r="N75" i="31"/>
  <c r="O75" i="31" s="1"/>
  <c r="D75" i="31"/>
  <c r="F75" i="31" s="1"/>
  <c r="K75" i="31" s="1"/>
  <c r="M75" i="31" s="1"/>
  <c r="N74" i="31"/>
  <c r="O74" i="31" s="1"/>
  <c r="D74" i="31"/>
  <c r="F74" i="31" s="1"/>
  <c r="K74" i="31" s="1"/>
  <c r="M74" i="31" s="1"/>
  <c r="N73" i="31"/>
  <c r="O73" i="31" s="1"/>
  <c r="D73" i="31"/>
  <c r="F73" i="31" s="1"/>
  <c r="K73" i="31" s="1"/>
  <c r="M73" i="31" s="1"/>
  <c r="W72" i="31"/>
  <c r="V72" i="31"/>
  <c r="N72" i="31"/>
  <c r="O72" i="31" s="1"/>
  <c r="D72" i="31"/>
  <c r="F72" i="31" s="1"/>
  <c r="K72" i="31" s="1"/>
  <c r="M72" i="31" s="1"/>
  <c r="N71" i="31"/>
  <c r="O71" i="31" s="1"/>
  <c r="D71" i="31"/>
  <c r="F71" i="31" s="1"/>
  <c r="K71" i="31" s="1"/>
  <c r="M71" i="31" s="1"/>
  <c r="N69" i="31"/>
  <c r="O69" i="31" s="1"/>
  <c r="D69" i="31"/>
  <c r="F69" i="31" s="1"/>
  <c r="K69" i="31" s="1"/>
  <c r="M69" i="31" s="1"/>
  <c r="N68" i="31"/>
  <c r="O68" i="31" s="1"/>
  <c r="D68" i="31"/>
  <c r="F68" i="31" s="1"/>
  <c r="K68" i="31" s="1"/>
  <c r="M68" i="31" s="1"/>
  <c r="Y66" i="31"/>
  <c r="W66" i="31"/>
  <c r="N66" i="31"/>
  <c r="O66" i="31" s="1"/>
  <c r="D66" i="31"/>
  <c r="F66" i="31" s="1"/>
  <c r="K66" i="31" s="1"/>
  <c r="M66" i="31" s="1"/>
  <c r="N65" i="31"/>
  <c r="O65" i="31" s="1"/>
  <c r="D65" i="31"/>
  <c r="F65" i="31" s="1"/>
  <c r="K65" i="31" s="1"/>
  <c r="M65" i="31" s="1"/>
  <c r="N63" i="31"/>
  <c r="O63" i="31" s="1"/>
  <c r="D63" i="31"/>
  <c r="F63" i="31" s="1"/>
  <c r="K63" i="31" s="1"/>
  <c r="M63" i="31" s="1"/>
  <c r="N62" i="31"/>
  <c r="O62" i="31" s="1"/>
  <c r="D62" i="31"/>
  <c r="F62" i="31" s="1"/>
  <c r="K62" i="31" s="1"/>
  <c r="M62" i="31" s="1"/>
  <c r="N61" i="31"/>
  <c r="O61" i="31" s="1"/>
  <c r="D61" i="31"/>
  <c r="F61" i="31" s="1"/>
  <c r="K61" i="31" s="1"/>
  <c r="M61" i="31" s="1"/>
  <c r="N60" i="31"/>
  <c r="O60" i="31" s="1"/>
  <c r="D60" i="31"/>
  <c r="C23" i="30"/>
  <c r="D20" i="30"/>
  <c r="D19" i="30"/>
  <c r="E19" i="30" s="1"/>
  <c r="D17" i="30"/>
  <c r="D15" i="30"/>
  <c r="E15" i="30" s="1"/>
  <c r="D11" i="30"/>
  <c r="E12" i="30" s="1"/>
  <c r="D9" i="30"/>
  <c r="E10" i="30" s="1"/>
  <c r="D7" i="30"/>
  <c r="E8" i="30" s="1"/>
  <c r="D4" i="30"/>
  <c r="E5" i="30" s="1"/>
  <c r="F20" i="30" l="1"/>
  <c r="F17" i="30"/>
  <c r="E6" i="30"/>
  <c r="E9" i="30"/>
  <c r="F9" i="30"/>
  <c r="F15" i="30"/>
  <c r="E16" i="30"/>
  <c r="F19" i="30"/>
  <c r="E17" i="30"/>
  <c r="E20" i="30"/>
  <c r="F12" i="31"/>
  <c r="E7" i="31"/>
  <c r="E16" i="31"/>
  <c r="F37" i="31"/>
  <c r="B42" i="31"/>
  <c r="U54" i="31" s="1"/>
  <c r="E30" i="31"/>
  <c r="O93" i="31"/>
  <c r="F7" i="31"/>
  <c r="F16" i="31"/>
  <c r="D42" i="31"/>
  <c r="C42" i="31"/>
  <c r="V54" i="31" s="1"/>
  <c r="D93" i="31"/>
  <c r="E37" i="31"/>
  <c r="G41" i="34"/>
  <c r="D41" i="34"/>
  <c r="B46" i="34" s="1"/>
  <c r="C46" i="34" s="1"/>
  <c r="P46" i="34"/>
  <c r="AE75" i="31"/>
  <c r="W59" i="31"/>
  <c r="AF75" i="31"/>
  <c r="N93" i="31"/>
  <c r="F60" i="31"/>
  <c r="E13" i="30"/>
  <c r="E14" i="30"/>
  <c r="D23" i="30"/>
  <c r="E7" i="30"/>
  <c r="E4" i="30"/>
  <c r="F7" i="30"/>
  <c r="F4" i="30"/>
  <c r="F11" i="30"/>
  <c r="F43" i="31" l="1"/>
  <c r="E42" i="31"/>
  <c r="F42" i="31"/>
  <c r="AG75" i="31"/>
  <c r="X59" i="31"/>
  <c r="Y59" i="31" s="1"/>
  <c r="AA59" i="31"/>
  <c r="AB59" i="31" s="1"/>
  <c r="F93" i="31"/>
  <c r="K60" i="31"/>
  <c r="Z59" i="31"/>
  <c r="W54" i="31"/>
  <c r="F23" i="30"/>
  <c r="M60" i="31" l="1"/>
  <c r="M93" i="31" s="1"/>
  <c r="K93" i="31"/>
  <c r="Y54" i="31"/>
  <c r="X54" i="31"/>
  <c r="E5" i="28" l="1"/>
  <c r="E4" i="28" s="1"/>
  <c r="H18" i="28" l="1"/>
  <c r="E8" i="28"/>
  <c r="E14" i="28" s="1"/>
  <c r="Z109" i="5"/>
  <c r="E12" i="29"/>
  <c r="F15" i="29" l="1"/>
  <c r="F14" i="28"/>
  <c r="H14" i="28" s="1"/>
  <c r="E45" i="27"/>
  <c r="E15" i="27"/>
  <c r="C112" i="27" s="1"/>
  <c r="E105" i="27"/>
  <c r="C119" i="27" s="1"/>
  <c r="E91" i="27"/>
  <c r="C118" i="27" s="1"/>
  <c r="E82" i="27"/>
  <c r="C117" i="27" s="1"/>
  <c r="E73" i="27"/>
  <c r="C116" i="27" s="1"/>
  <c r="E61" i="27"/>
  <c r="C115" i="27" s="1"/>
  <c r="C113" i="27"/>
  <c r="E27" i="27"/>
  <c r="C114" i="27" s="1"/>
  <c r="C120" i="27" l="1"/>
  <c r="D120" i="27" l="1"/>
  <c r="D124" i="27"/>
  <c r="C23" i="26" l="1"/>
  <c r="D20" i="26"/>
  <c r="E20" i="26" s="1"/>
  <c r="D19" i="26"/>
  <c r="D17" i="26"/>
  <c r="E17" i="26" s="1"/>
  <c r="D15" i="26"/>
  <c r="E15" i="26" s="1"/>
  <c r="D11" i="26"/>
  <c r="E13" i="26" s="1"/>
  <c r="D9" i="26"/>
  <c r="E10" i="26" s="1"/>
  <c r="D7" i="26"/>
  <c r="E8" i="26" s="1"/>
  <c r="D4" i="26"/>
  <c r="E6" i="26" s="1"/>
  <c r="Z56" i="5"/>
  <c r="Z72" i="5"/>
  <c r="Z123" i="5"/>
  <c r="Z126" i="5"/>
  <c r="Z118" i="5"/>
  <c r="Z146" i="5"/>
  <c r="Z19" i="5"/>
  <c r="F19" i="26" l="1"/>
  <c r="F15" i="26"/>
  <c r="E16" i="26"/>
  <c r="F4" i="26"/>
  <c r="E12" i="26"/>
  <c r="E4" i="26"/>
  <c r="F7" i="26"/>
  <c r="E14" i="26"/>
  <c r="F17" i="26"/>
  <c r="E5" i="26"/>
  <c r="E9" i="26"/>
  <c r="F11" i="26"/>
  <c r="E19" i="26"/>
  <c r="F9" i="26"/>
  <c r="E7" i="26"/>
  <c r="F20" i="26"/>
  <c r="D23" i="26"/>
  <c r="Y13" i="23"/>
  <c r="W47" i="15"/>
  <c r="X47" i="15" s="1"/>
  <c r="AD19" i="24"/>
  <c r="AD18" i="24"/>
  <c r="AD16" i="24"/>
  <c r="AD15" i="24"/>
  <c r="AD12" i="24"/>
  <c r="AD11" i="24"/>
  <c r="AD9" i="24"/>
  <c r="AD8" i="24"/>
  <c r="AD24" i="24"/>
  <c r="AD23" i="24"/>
  <c r="U27" i="20"/>
  <c r="U28" i="20"/>
  <c r="U29" i="20"/>
  <c r="U30" i="20"/>
  <c r="U31" i="20"/>
  <c r="T26" i="20"/>
  <c r="F23" i="26" l="1"/>
  <c r="V33" i="20"/>
  <c r="AD35" i="15"/>
  <c r="X33" i="15"/>
  <c r="X34" i="15"/>
  <c r="AD26" i="15"/>
  <c r="AE26" i="15"/>
  <c r="AF26" i="15"/>
  <c r="AG43" i="15"/>
  <c r="X43" i="15"/>
  <c r="V30" i="15"/>
  <c r="W46" i="15"/>
  <c r="V46" i="15"/>
  <c r="AD46" i="15"/>
  <c r="AC46" i="15"/>
  <c r="AG29" i="15"/>
  <c r="AG30" i="15"/>
  <c r="AG31" i="15"/>
  <c r="AG33" i="15"/>
  <c r="AG34" i="15"/>
  <c r="AG36" i="15"/>
  <c r="AH36" i="15" s="1"/>
  <c r="AG37" i="15"/>
  <c r="AG38" i="15"/>
  <c r="AH38" i="15" s="1"/>
  <c r="AG39" i="15"/>
  <c r="AG40" i="15"/>
  <c r="AH40" i="15" s="1"/>
  <c r="AG41" i="15"/>
  <c r="AH41" i="15" s="1"/>
  <c r="AG42" i="15"/>
  <c r="AH42" i="15" s="1"/>
  <c r="AG44" i="15"/>
  <c r="AG45" i="15"/>
  <c r="AG28" i="15"/>
  <c r="AG9" i="15"/>
  <c r="AG10" i="15"/>
  <c r="AG11" i="15"/>
  <c r="AG12" i="15"/>
  <c r="AG13" i="15"/>
  <c r="AG14" i="15"/>
  <c r="AG15" i="15"/>
  <c r="AG16" i="15"/>
  <c r="AG17" i="15"/>
  <c r="AG18" i="15"/>
  <c r="AG19" i="15"/>
  <c r="AG20" i="15"/>
  <c r="AG21" i="15"/>
  <c r="AG22" i="15"/>
  <c r="AG23" i="15"/>
  <c r="AG24" i="15"/>
  <c r="AG25" i="15"/>
  <c r="AG8" i="15"/>
  <c r="W39" i="15"/>
  <c r="AE61" i="19"/>
  <c r="AF61" i="19"/>
  <c r="AD61" i="19"/>
  <c r="D83" i="19" s="1"/>
  <c r="AC61" i="19"/>
  <c r="V32" i="19"/>
  <c r="AG64" i="19"/>
  <c r="AH64" i="19" s="1"/>
  <c r="AG65" i="19"/>
  <c r="AH65" i="19" s="1"/>
  <c r="AG66" i="19"/>
  <c r="AH66" i="19" s="1"/>
  <c r="AG67" i="19"/>
  <c r="AG68" i="19"/>
  <c r="AG69" i="19"/>
  <c r="AH69" i="19" s="1"/>
  <c r="AG70" i="19"/>
  <c r="AH70" i="19" s="1"/>
  <c r="AG71" i="19"/>
  <c r="AG63" i="19"/>
  <c r="AG32" i="19"/>
  <c r="AG12" i="19"/>
  <c r="W32" i="19"/>
  <c r="X32" i="19" s="1"/>
  <c r="AH32" i="19" s="1"/>
  <c r="W12" i="19"/>
  <c r="X12" i="19" s="1"/>
  <c r="AG52" i="19"/>
  <c r="AG53" i="19"/>
  <c r="AG54" i="19"/>
  <c r="AG55" i="19"/>
  <c r="AG56" i="19"/>
  <c r="AG57" i="19"/>
  <c r="AG58" i="19"/>
  <c r="AG59" i="19"/>
  <c r="AG60" i="19"/>
  <c r="AG9" i="19"/>
  <c r="AG10" i="19"/>
  <c r="AG11" i="19"/>
  <c r="AG8" i="19"/>
  <c r="W8" i="19"/>
  <c r="X59" i="19"/>
  <c r="X58" i="19"/>
  <c r="X52" i="19"/>
  <c r="X56" i="19"/>
  <c r="X57" i="19"/>
  <c r="X60" i="19"/>
  <c r="AH57" i="19" l="1"/>
  <c r="AG61" i="19"/>
  <c r="X8" i="19"/>
  <c r="W61" i="19"/>
  <c r="AH58" i="19"/>
  <c r="X39" i="15"/>
  <c r="AH39" i="15" s="1"/>
  <c r="W49" i="15"/>
  <c r="AH13" i="15"/>
  <c r="AD49" i="15"/>
  <c r="AG46" i="15"/>
  <c r="AH43" i="15"/>
  <c r="AH59" i="19"/>
  <c r="AH60" i="19"/>
  <c r="AH56" i="19"/>
  <c r="AG26" i="15"/>
  <c r="X46" i="15"/>
  <c r="AH52" i="19"/>
  <c r="AH8" i="19"/>
  <c r="J188" i="5"/>
  <c r="P181" i="5"/>
  <c r="AD171" i="5"/>
  <c r="AB171" i="5"/>
  <c r="AC171" i="5"/>
  <c r="AA171" i="5"/>
  <c r="S171" i="5"/>
  <c r="Q171" i="5"/>
  <c r="AH46" i="15" l="1"/>
  <c r="AE171" i="5"/>
  <c r="AD12" i="23" l="1"/>
  <c r="AD11" i="23"/>
  <c r="AD10" i="23"/>
  <c r="AD9" i="23"/>
  <c r="AD8" i="23"/>
  <c r="AD27" i="23" l="1"/>
  <c r="AC35" i="15"/>
  <c r="AG35" i="15" s="1"/>
  <c r="AC32" i="15"/>
  <c r="AG32" i="15" l="1"/>
  <c r="AC49" i="15"/>
  <c r="Z29" i="20"/>
  <c r="AC24" i="24"/>
  <c r="AC23" i="24"/>
  <c r="AC19" i="24"/>
  <c r="AC18" i="24"/>
  <c r="AC16" i="24"/>
  <c r="AC15" i="24"/>
  <c r="AC12" i="24"/>
  <c r="AC11" i="24"/>
  <c r="AC9" i="24"/>
  <c r="AC8" i="24"/>
  <c r="Z28" i="23" l="1"/>
  <c r="C34" i="23" s="1"/>
  <c r="P14" i="25"/>
  <c r="C13" i="25"/>
  <c r="C12" i="25"/>
  <c r="C8" i="25"/>
  <c r="C7" i="25"/>
  <c r="C6" i="25"/>
  <c r="Z49" i="15"/>
  <c r="E66" i="15" s="1"/>
  <c r="AA49" i="15"/>
  <c r="AB49" i="15"/>
  <c r="N66" i="15" s="1"/>
  <c r="Y49" i="15"/>
  <c r="C66" i="15" s="1"/>
  <c r="AB50" i="15"/>
  <c r="N67" i="15" s="1"/>
  <c r="O67" i="15" s="1"/>
  <c r="Z50" i="15"/>
  <c r="E67" i="15" s="1"/>
  <c r="F67" i="15" s="1"/>
  <c r="AA50" i="15"/>
  <c r="G67" i="15" s="1"/>
  <c r="M67" i="15" s="1"/>
  <c r="Y50" i="15"/>
  <c r="C67" i="15" s="1"/>
  <c r="AB27" i="15"/>
  <c r="N57" i="15" s="1"/>
  <c r="Z27" i="15"/>
  <c r="E57" i="15" s="1"/>
  <c r="F57" i="15" s="1"/>
  <c r="AA27" i="15"/>
  <c r="G57" i="15" s="1"/>
  <c r="Y27" i="15"/>
  <c r="C57" i="15" s="1"/>
  <c r="Z73" i="19"/>
  <c r="E89" i="19" s="1"/>
  <c r="F89" i="19" s="1"/>
  <c r="AA73" i="19"/>
  <c r="G89" i="19" s="1"/>
  <c r="M89" i="19" s="1"/>
  <c r="AB73" i="19"/>
  <c r="N89" i="19" s="1"/>
  <c r="O89" i="19" s="1"/>
  <c r="Y73" i="19"/>
  <c r="C89" i="19" s="1"/>
  <c r="Z62" i="19"/>
  <c r="E79" i="19" s="1"/>
  <c r="AA62" i="19"/>
  <c r="G79" i="19" s="1"/>
  <c r="AB62" i="19"/>
  <c r="N79" i="19" s="1"/>
  <c r="O79" i="19" s="1"/>
  <c r="Y62" i="19"/>
  <c r="C79" i="19" s="1"/>
  <c r="Y12" i="20"/>
  <c r="J40" i="20" s="1"/>
  <c r="W12" i="20"/>
  <c r="E40" i="20" s="1"/>
  <c r="X12" i="20"/>
  <c r="V12" i="20"/>
  <c r="V17" i="20"/>
  <c r="C50" i="20" s="1"/>
  <c r="Y24" i="20"/>
  <c r="J62" i="20" s="1"/>
  <c r="W24" i="20"/>
  <c r="E62" i="20" s="1"/>
  <c r="X24" i="20"/>
  <c r="G62" i="20" s="1"/>
  <c r="V24" i="20"/>
  <c r="C62" i="20" s="1"/>
  <c r="W33" i="20"/>
  <c r="E75" i="20" s="1"/>
  <c r="X33" i="20"/>
  <c r="G75" i="20" s="1"/>
  <c r="Y33" i="20"/>
  <c r="J75" i="20" s="1"/>
  <c r="C75" i="20"/>
  <c r="AA28" i="23"/>
  <c r="E34" i="23" s="1"/>
  <c r="AB28" i="23"/>
  <c r="G34" i="23" s="1"/>
  <c r="AC28" i="23"/>
  <c r="N34" i="23" s="1"/>
  <c r="B52" i="24"/>
  <c r="B42" i="24"/>
  <c r="AD10" i="24"/>
  <c r="D36" i="24" s="1"/>
  <c r="AE10" i="24"/>
  <c r="F36" i="24" s="1"/>
  <c r="AF10" i="24"/>
  <c r="H36" i="24" s="1"/>
  <c r="AG10" i="24"/>
  <c r="AH10" i="24"/>
  <c r="AC10" i="24"/>
  <c r="B36" i="24" s="1"/>
  <c r="Z10" i="24"/>
  <c r="E32" i="24" s="1"/>
  <c r="AA10" i="24"/>
  <c r="G32" i="24" s="1"/>
  <c r="AB10" i="24"/>
  <c r="N32" i="24" s="1"/>
  <c r="Y10" i="24"/>
  <c r="C32" i="24" s="1"/>
  <c r="W10" i="24"/>
  <c r="R10" i="24"/>
  <c r="S10" i="24"/>
  <c r="T10" i="24"/>
  <c r="Q10" i="24"/>
  <c r="O10" i="24"/>
  <c r="B32" i="24" s="1"/>
  <c r="Z26" i="24"/>
  <c r="E52" i="24" s="1"/>
  <c r="AA26" i="24"/>
  <c r="G52" i="24" s="1"/>
  <c r="AB26" i="24"/>
  <c r="N52" i="24" s="1"/>
  <c r="Y26" i="24"/>
  <c r="C52" i="24" s="1"/>
  <c r="AD20" i="24"/>
  <c r="D46" i="24" s="1"/>
  <c r="AE20" i="24"/>
  <c r="AF20" i="24"/>
  <c r="AG20" i="24"/>
  <c r="AH20" i="24"/>
  <c r="AC20" i="24"/>
  <c r="Z20" i="24"/>
  <c r="Z21" i="24" s="1"/>
  <c r="E42" i="24" s="1"/>
  <c r="AA20" i="24"/>
  <c r="AA21" i="24" s="1"/>
  <c r="G42" i="24" s="1"/>
  <c r="AB20" i="24"/>
  <c r="AB21" i="24" s="1"/>
  <c r="N42" i="24" s="1"/>
  <c r="Y20" i="24"/>
  <c r="Y21" i="24" s="1"/>
  <c r="C42" i="24" s="1"/>
  <c r="W20" i="24"/>
  <c r="R20" i="24"/>
  <c r="S20" i="24"/>
  <c r="T20" i="24"/>
  <c r="Q20" i="24"/>
  <c r="O20" i="24"/>
  <c r="B41" i="24" s="1"/>
  <c r="AD25" i="24"/>
  <c r="AE25" i="24"/>
  <c r="F56" i="24" s="1"/>
  <c r="AF25" i="24"/>
  <c r="H46" i="24" s="1"/>
  <c r="AG25" i="24"/>
  <c r="AH25" i="24"/>
  <c r="AC25" i="24"/>
  <c r="B46" i="24" s="1"/>
  <c r="Z25" i="24"/>
  <c r="E51" i="24" s="1"/>
  <c r="AA25" i="24"/>
  <c r="G51" i="24" s="1"/>
  <c r="AB25" i="24"/>
  <c r="N51" i="24" s="1"/>
  <c r="Y25" i="24"/>
  <c r="C51" i="24" s="1"/>
  <c r="W25" i="24"/>
  <c r="T26" i="24"/>
  <c r="S26" i="24"/>
  <c r="R26" i="24"/>
  <c r="Q26" i="24"/>
  <c r="R25" i="24"/>
  <c r="S25" i="24"/>
  <c r="T25" i="24"/>
  <c r="Q25" i="24"/>
  <c r="O25" i="24"/>
  <c r="B51" i="24" s="1"/>
  <c r="N46" i="23"/>
  <c r="O12" i="25" s="1"/>
  <c r="G46" i="23"/>
  <c r="L12" i="25" s="1"/>
  <c r="E46" i="23"/>
  <c r="I12" i="25" s="1"/>
  <c r="M50" i="23"/>
  <c r="AE27" i="23"/>
  <c r="D38" i="23" s="1"/>
  <c r="D50" i="23" s="1"/>
  <c r="D25" i="25" s="1"/>
  <c r="AF27" i="23"/>
  <c r="F38" i="23" s="1"/>
  <c r="F50" i="23" s="1"/>
  <c r="E25" i="25" s="1"/>
  <c r="AG27" i="23"/>
  <c r="H38" i="23" s="1"/>
  <c r="H50" i="23" s="1"/>
  <c r="F25" i="25" s="1"/>
  <c r="AH27" i="23"/>
  <c r="AI27" i="23"/>
  <c r="B38" i="23"/>
  <c r="B50" i="23" s="1"/>
  <c r="C25" i="25" s="1"/>
  <c r="AA27" i="23"/>
  <c r="E33" i="23" s="1"/>
  <c r="E45" i="23" s="1"/>
  <c r="H12" i="25" s="1"/>
  <c r="AB27" i="23"/>
  <c r="G33" i="23" s="1"/>
  <c r="G45" i="23" s="1"/>
  <c r="K12" i="25" s="1"/>
  <c r="AC27" i="23"/>
  <c r="N33" i="23" s="1"/>
  <c r="N45" i="23" s="1"/>
  <c r="N12" i="25" s="1"/>
  <c r="S28" i="23"/>
  <c r="Q28" i="23"/>
  <c r="Q27" i="23"/>
  <c r="R27" i="23"/>
  <c r="S27" i="23"/>
  <c r="T27" i="23"/>
  <c r="O28" i="23"/>
  <c r="B34" i="23" s="1"/>
  <c r="O27" i="23"/>
  <c r="B33" i="23" s="1"/>
  <c r="AH13" i="22"/>
  <c r="AG13" i="22"/>
  <c r="AF13" i="22"/>
  <c r="AE13" i="22"/>
  <c r="H34" i="22" s="1"/>
  <c r="AD13" i="22"/>
  <c r="AC13" i="22"/>
  <c r="B34" i="22" s="1"/>
  <c r="Z13" i="22"/>
  <c r="E30" i="22" s="1"/>
  <c r="AA13" i="22"/>
  <c r="G30" i="22" s="1"/>
  <c r="AB13" i="22"/>
  <c r="N30" i="22" s="1"/>
  <c r="Y13" i="22"/>
  <c r="C30" i="22" s="1"/>
  <c r="W13" i="22"/>
  <c r="T13" i="22"/>
  <c r="S13" i="22"/>
  <c r="R13" i="22"/>
  <c r="Q13" i="22"/>
  <c r="O13" i="22"/>
  <c r="B30" i="22" s="1"/>
  <c r="AD10" i="22"/>
  <c r="D25" i="22" s="1"/>
  <c r="AE10" i="22"/>
  <c r="F25" i="22" s="1"/>
  <c r="AF10" i="22"/>
  <c r="H25" i="22" s="1"/>
  <c r="AG10" i="22"/>
  <c r="AH10" i="22"/>
  <c r="AC10" i="22"/>
  <c r="B25" i="22" s="1"/>
  <c r="Z10" i="22"/>
  <c r="E21" i="22" s="1"/>
  <c r="AA10" i="22"/>
  <c r="G21" i="22" s="1"/>
  <c r="AB10" i="22"/>
  <c r="N21" i="22" s="1"/>
  <c r="Y10" i="22"/>
  <c r="C21" i="22" s="1"/>
  <c r="W10" i="22"/>
  <c r="T10" i="22"/>
  <c r="S10" i="22"/>
  <c r="R10" i="22"/>
  <c r="Q10" i="22"/>
  <c r="O10" i="22"/>
  <c r="B21" i="22" s="1"/>
  <c r="R30" i="21"/>
  <c r="S30" i="21"/>
  <c r="T30" i="21"/>
  <c r="Q30" i="21"/>
  <c r="O30" i="21"/>
  <c r="B45" i="21" s="1"/>
  <c r="AD30" i="21"/>
  <c r="D49" i="21" s="1"/>
  <c r="AE30" i="21"/>
  <c r="F49" i="21" s="1"/>
  <c r="AF30" i="21"/>
  <c r="H49" i="21" s="1"/>
  <c r="AG30" i="21"/>
  <c r="AH30" i="21"/>
  <c r="AC30" i="21"/>
  <c r="B49" i="21" s="1"/>
  <c r="Z30" i="21"/>
  <c r="E45" i="21" s="1"/>
  <c r="AA30" i="21"/>
  <c r="G45" i="21" s="1"/>
  <c r="AB30" i="21"/>
  <c r="N45" i="21" s="1"/>
  <c r="Y30" i="21"/>
  <c r="C45" i="21" s="1"/>
  <c r="W30" i="21"/>
  <c r="AD18" i="21"/>
  <c r="D40" i="21" s="1"/>
  <c r="AE18" i="21"/>
  <c r="F40" i="21" s="1"/>
  <c r="AF18" i="21"/>
  <c r="H40" i="21" s="1"/>
  <c r="AG18" i="21"/>
  <c r="AH18" i="21"/>
  <c r="AC18" i="21"/>
  <c r="B40" i="21" s="1"/>
  <c r="Z18" i="21"/>
  <c r="E36" i="21" s="1"/>
  <c r="AA18" i="21"/>
  <c r="G36" i="21" s="1"/>
  <c r="AB18" i="21"/>
  <c r="N36" i="21" s="1"/>
  <c r="Y18" i="21"/>
  <c r="C36" i="21" s="1"/>
  <c r="T18" i="21"/>
  <c r="S18" i="21"/>
  <c r="R18" i="21"/>
  <c r="Q18" i="21"/>
  <c r="O18" i="21"/>
  <c r="B36" i="21" s="1"/>
  <c r="X35" i="21"/>
  <c r="U36" i="21"/>
  <c r="B75" i="20"/>
  <c r="B62" i="20"/>
  <c r="B50" i="20"/>
  <c r="B40" i="20"/>
  <c r="AC32" i="20"/>
  <c r="H79" i="20" s="1"/>
  <c r="AB32" i="20"/>
  <c r="F79" i="20" s="1"/>
  <c r="AA32" i="20"/>
  <c r="D79" i="20" s="1"/>
  <c r="Z32" i="20"/>
  <c r="B79" i="20" s="1"/>
  <c r="Y32" i="20"/>
  <c r="J74" i="20" s="1"/>
  <c r="X32" i="20"/>
  <c r="G74" i="20" s="1"/>
  <c r="W32" i="20"/>
  <c r="E74" i="20" s="1"/>
  <c r="V32" i="20"/>
  <c r="C74" i="20" s="1"/>
  <c r="P32" i="20"/>
  <c r="O32" i="20"/>
  <c r="N32" i="20"/>
  <c r="M32" i="20"/>
  <c r="K32" i="20"/>
  <c r="B74" i="20" s="1"/>
  <c r="AA23" i="20"/>
  <c r="D67" i="20" s="1"/>
  <c r="AB23" i="20"/>
  <c r="F67" i="20" s="1"/>
  <c r="AC23" i="20"/>
  <c r="H67" i="20" s="1"/>
  <c r="AD23" i="20"/>
  <c r="AE23" i="20"/>
  <c r="Z23" i="20"/>
  <c r="B67" i="20" s="1"/>
  <c r="W23" i="20"/>
  <c r="E61" i="20" s="1"/>
  <c r="X23" i="20"/>
  <c r="G61" i="20" s="1"/>
  <c r="Y23" i="20"/>
  <c r="J61" i="20" s="1"/>
  <c r="W25" i="20"/>
  <c r="E63" i="20" s="1"/>
  <c r="E87" i="20" s="1"/>
  <c r="J9" i="25" s="1"/>
  <c r="J14" i="25" s="1"/>
  <c r="X25" i="20"/>
  <c r="G63" i="20" s="1"/>
  <c r="G87" i="20" s="1"/>
  <c r="M9" i="25" s="1"/>
  <c r="M14" i="25" s="1"/>
  <c r="Y25" i="20"/>
  <c r="J63" i="20" s="1"/>
  <c r="J87" i="20" s="1"/>
  <c r="V25" i="20"/>
  <c r="C63" i="20" s="1"/>
  <c r="C87" i="20" s="1"/>
  <c r="G9" i="25" s="1"/>
  <c r="G14" i="25" s="1"/>
  <c r="V23" i="20"/>
  <c r="C61" i="20" s="1"/>
  <c r="N23" i="20"/>
  <c r="O23" i="20"/>
  <c r="P23" i="20"/>
  <c r="N25" i="20"/>
  <c r="O25" i="20"/>
  <c r="P25" i="20"/>
  <c r="M25" i="20"/>
  <c r="M23" i="20"/>
  <c r="K23" i="20"/>
  <c r="B61" i="20" s="1"/>
  <c r="K25" i="20"/>
  <c r="B63" i="20" s="1"/>
  <c r="AA16" i="20"/>
  <c r="D54" i="20" s="1"/>
  <c r="AB16" i="20"/>
  <c r="F54" i="20" s="1"/>
  <c r="AC16" i="20"/>
  <c r="H54" i="20" s="1"/>
  <c r="AD16" i="20"/>
  <c r="AE16" i="20"/>
  <c r="Z16" i="20"/>
  <c r="B54" i="20" s="1"/>
  <c r="W17" i="20"/>
  <c r="E50" i="20" s="1"/>
  <c r="X17" i="20"/>
  <c r="G50" i="20" s="1"/>
  <c r="Y17" i="20"/>
  <c r="J50" i="20" s="1"/>
  <c r="W16" i="20"/>
  <c r="E49" i="20" s="1"/>
  <c r="X16" i="20"/>
  <c r="G49" i="20" s="1"/>
  <c r="Y16" i="20"/>
  <c r="J49" i="20" s="1"/>
  <c r="V16" i="20"/>
  <c r="C49" i="20" s="1"/>
  <c r="S16" i="20"/>
  <c r="N16" i="20"/>
  <c r="O16" i="20"/>
  <c r="P16" i="20"/>
  <c r="M16" i="20"/>
  <c r="K16" i="20"/>
  <c r="B49" i="20" s="1"/>
  <c r="AA11" i="20"/>
  <c r="D44" i="20" s="1"/>
  <c r="AB11" i="20"/>
  <c r="F44" i="20" s="1"/>
  <c r="AC11" i="20"/>
  <c r="H44" i="20" s="1"/>
  <c r="AD11" i="20"/>
  <c r="AE11" i="20"/>
  <c r="Z11" i="20"/>
  <c r="B44" i="20" s="1"/>
  <c r="W11" i="20"/>
  <c r="E39" i="20" s="1"/>
  <c r="X11" i="20"/>
  <c r="Y11" i="20"/>
  <c r="J39" i="20" s="1"/>
  <c r="V11" i="20"/>
  <c r="C39" i="20" s="1"/>
  <c r="U11" i="20"/>
  <c r="A44" i="20" s="1"/>
  <c r="S11" i="20"/>
  <c r="N11" i="20"/>
  <c r="O11" i="20"/>
  <c r="P11" i="20"/>
  <c r="M11" i="20"/>
  <c r="K11" i="20"/>
  <c r="B39" i="20" s="1"/>
  <c r="M93" i="19"/>
  <c r="F93" i="19"/>
  <c r="D93" i="19"/>
  <c r="B93" i="19"/>
  <c r="M83" i="19"/>
  <c r="F83" i="19"/>
  <c r="AG72" i="19"/>
  <c r="AF72" i="19"/>
  <c r="AE72" i="19"/>
  <c r="AD72" i="19"/>
  <c r="AC72" i="19"/>
  <c r="V72" i="19"/>
  <c r="Z72" i="19"/>
  <c r="E88" i="19" s="1"/>
  <c r="AA72" i="19"/>
  <c r="G88" i="19" s="1"/>
  <c r="AB72" i="19"/>
  <c r="N88" i="19" s="1"/>
  <c r="Y72" i="19"/>
  <c r="C88" i="19" s="1"/>
  <c r="Q72" i="19"/>
  <c r="R72" i="19"/>
  <c r="S72" i="19"/>
  <c r="P72" i="19"/>
  <c r="N72" i="19"/>
  <c r="B88" i="19" s="1"/>
  <c r="B83" i="19"/>
  <c r="Z61" i="19"/>
  <c r="E78" i="19" s="1"/>
  <c r="AA61" i="19"/>
  <c r="G78" i="19" s="1"/>
  <c r="AB61" i="19"/>
  <c r="N78" i="19" s="1"/>
  <c r="Y61" i="19"/>
  <c r="C78" i="19" s="1"/>
  <c r="Q61" i="19"/>
  <c r="R61" i="19"/>
  <c r="S61" i="19"/>
  <c r="P61" i="19"/>
  <c r="N61" i="19"/>
  <c r="B78" i="19" s="1"/>
  <c r="G66" i="15"/>
  <c r="Q49" i="15"/>
  <c r="R49" i="15"/>
  <c r="S49" i="15"/>
  <c r="P49" i="15"/>
  <c r="P50" i="15" s="1"/>
  <c r="N49" i="15"/>
  <c r="B66" i="15" s="1"/>
  <c r="AG49" i="15"/>
  <c r="D71" i="15"/>
  <c r="AE49" i="15"/>
  <c r="F71" i="15" s="1"/>
  <c r="AF49" i="15"/>
  <c r="M71" i="15" s="1"/>
  <c r="B71" i="15"/>
  <c r="D61" i="15"/>
  <c r="F61" i="15"/>
  <c r="M61" i="15"/>
  <c r="AC26" i="15"/>
  <c r="B61" i="15" s="1"/>
  <c r="Z26" i="15"/>
  <c r="E56" i="15" s="1"/>
  <c r="AA26" i="15"/>
  <c r="G56" i="15" s="1"/>
  <c r="AB26" i="15"/>
  <c r="N56" i="15" s="1"/>
  <c r="Y26" i="15"/>
  <c r="C56" i="15" s="1"/>
  <c r="Q26" i="15"/>
  <c r="R26" i="15"/>
  <c r="S26" i="15"/>
  <c r="P26" i="15"/>
  <c r="N26" i="15"/>
  <c r="B56" i="15" s="1"/>
  <c r="M60" i="14"/>
  <c r="M59" i="14"/>
  <c r="M48" i="14"/>
  <c r="M47" i="14"/>
  <c r="M38" i="14"/>
  <c r="O38" i="14" s="1"/>
  <c r="M37" i="14"/>
  <c r="D38" i="14"/>
  <c r="F38" i="14" s="1"/>
  <c r="D28" i="14"/>
  <c r="F28" i="14"/>
  <c r="M28" i="14"/>
  <c r="O28" i="14"/>
  <c r="M56" i="24"/>
  <c r="M46" i="24"/>
  <c r="M36" i="24"/>
  <c r="U30" i="24"/>
  <c r="X24" i="24"/>
  <c r="X23" i="24"/>
  <c r="X22" i="24"/>
  <c r="X19" i="24"/>
  <c r="X18" i="24"/>
  <c r="X17" i="24"/>
  <c r="X16" i="24"/>
  <c r="X15" i="24"/>
  <c r="X14" i="24"/>
  <c r="X13" i="24"/>
  <c r="X12" i="24"/>
  <c r="X11" i="24"/>
  <c r="X9" i="24"/>
  <c r="AX8" i="24"/>
  <c r="AY8" i="24" s="1"/>
  <c r="X8" i="24"/>
  <c r="M38" i="23"/>
  <c r="Y24" i="23"/>
  <c r="Y19" i="23"/>
  <c r="Y15" i="23"/>
  <c r="W8" i="23"/>
  <c r="M34" i="22"/>
  <c r="M25" i="22"/>
  <c r="U16" i="22"/>
  <c r="X12" i="22"/>
  <c r="X11" i="22"/>
  <c r="AX9" i="22"/>
  <c r="X9" i="22"/>
  <c r="X8" i="22"/>
  <c r="M49" i="21"/>
  <c r="M40" i="21"/>
  <c r="U33" i="21"/>
  <c r="X29" i="21"/>
  <c r="X28" i="21"/>
  <c r="X25" i="21"/>
  <c r="X24" i="21"/>
  <c r="X22" i="21"/>
  <c r="X21" i="21"/>
  <c r="X19" i="21"/>
  <c r="X17" i="21"/>
  <c r="W15" i="21"/>
  <c r="X15" i="21" s="1"/>
  <c r="W14" i="21"/>
  <c r="X14" i="21" s="1"/>
  <c r="W13" i="21"/>
  <c r="X13" i="21" s="1"/>
  <c r="W11" i="21"/>
  <c r="X11" i="21" s="1"/>
  <c r="Q35" i="20"/>
  <c r="S26" i="20"/>
  <c r="U26" i="20" s="1"/>
  <c r="U22" i="20"/>
  <c r="U21" i="20"/>
  <c r="U20" i="20"/>
  <c r="N20" i="20"/>
  <c r="O20" i="20" s="1"/>
  <c r="U19" i="20"/>
  <c r="S18" i="20"/>
  <c r="U18" i="20" s="1"/>
  <c r="U15" i="20"/>
  <c r="U14" i="20"/>
  <c r="U13" i="20"/>
  <c r="T74" i="19"/>
  <c r="X71" i="19"/>
  <c r="X68" i="19"/>
  <c r="AH68" i="19" s="1"/>
  <c r="X67" i="19"/>
  <c r="AH67" i="19" s="1"/>
  <c r="X63" i="19"/>
  <c r="AH63" i="19" s="1"/>
  <c r="AH12" i="19"/>
  <c r="X9" i="19"/>
  <c r="AH9" i="19" s="1"/>
  <c r="T52" i="15"/>
  <c r="X45" i="15"/>
  <c r="AH45" i="15" s="1"/>
  <c r="X44" i="15"/>
  <c r="AH44" i="15" s="1"/>
  <c r="X37" i="15"/>
  <c r="AH37" i="15" s="1"/>
  <c r="V35" i="15"/>
  <c r="AH34" i="15"/>
  <c r="AH33" i="15"/>
  <c r="V32" i="15"/>
  <c r="X30" i="15"/>
  <c r="AH30" i="15" s="1"/>
  <c r="X28" i="15"/>
  <c r="X25" i="15"/>
  <c r="AH25" i="15" s="1"/>
  <c r="X24" i="15"/>
  <c r="AH24" i="15" s="1"/>
  <c r="X23" i="15"/>
  <c r="AH23" i="15" s="1"/>
  <c r="X22" i="15"/>
  <c r="AH22" i="15" s="1"/>
  <c r="X21" i="15"/>
  <c r="AH21" i="15" s="1"/>
  <c r="X20" i="15"/>
  <c r="AH20" i="15" s="1"/>
  <c r="X19" i="15"/>
  <c r="V18" i="15"/>
  <c r="X18" i="15" s="1"/>
  <c r="AH18" i="15" s="1"/>
  <c r="V16" i="15"/>
  <c r="X16" i="15" s="1"/>
  <c r="AH16" i="15" s="1"/>
  <c r="X15" i="15"/>
  <c r="AH15" i="15" s="1"/>
  <c r="V14" i="15"/>
  <c r="X14" i="15" s="1"/>
  <c r="AH14" i="15" s="1"/>
  <c r="V12" i="15"/>
  <c r="X12" i="15" s="1"/>
  <c r="AH12" i="15" s="1"/>
  <c r="X10" i="15"/>
  <c r="AH10" i="15" s="1"/>
  <c r="X8" i="15"/>
  <c r="AH8" i="15" s="1"/>
  <c r="Y23" i="14"/>
  <c r="E48" i="14" s="1"/>
  <c r="E60" i="14" s="1"/>
  <c r="I6" i="25" s="1"/>
  <c r="Z23" i="14"/>
  <c r="G48" i="14" s="1"/>
  <c r="G60" i="14" s="1"/>
  <c r="L6" i="25" s="1"/>
  <c r="AA23" i="14"/>
  <c r="N48" i="14" s="1"/>
  <c r="N60" i="14" s="1"/>
  <c r="O6" i="25" s="1"/>
  <c r="X23" i="14"/>
  <c r="C48" i="14" s="1"/>
  <c r="P23" i="14"/>
  <c r="Q23" i="14"/>
  <c r="R23" i="14"/>
  <c r="S23" i="14"/>
  <c r="N23" i="14"/>
  <c r="B48" i="14" s="1"/>
  <c r="N22" i="14"/>
  <c r="B47" i="14" s="1"/>
  <c r="AG22" i="14"/>
  <c r="AF22" i="14"/>
  <c r="AE22" i="14"/>
  <c r="M52" i="14" s="1"/>
  <c r="N52" i="14" s="1"/>
  <c r="AD22" i="14"/>
  <c r="F52" i="14" s="1"/>
  <c r="AC22" i="14"/>
  <c r="D52" i="14" s="1"/>
  <c r="AB22" i="14"/>
  <c r="B52" i="14" s="1"/>
  <c r="AA22" i="14"/>
  <c r="N47" i="14" s="1"/>
  <c r="Z22" i="14"/>
  <c r="G47" i="14" s="1"/>
  <c r="Y22" i="14"/>
  <c r="E47" i="14" s="1"/>
  <c r="X22" i="14"/>
  <c r="C47" i="14" s="1"/>
  <c r="S22" i="14"/>
  <c r="R22" i="14"/>
  <c r="Q22" i="14"/>
  <c r="P22" i="14"/>
  <c r="AC17" i="14"/>
  <c r="D42" i="14" s="1"/>
  <c r="AD17" i="14"/>
  <c r="F42" i="14" s="1"/>
  <c r="AE17" i="14"/>
  <c r="M42" i="14" s="1"/>
  <c r="N42" i="14" s="1"/>
  <c r="AF17" i="14"/>
  <c r="AG17" i="14"/>
  <c r="AB17" i="14"/>
  <c r="B42" i="14" s="1"/>
  <c r="Y17" i="14"/>
  <c r="E37" i="14" s="1"/>
  <c r="Z17" i="14"/>
  <c r="G37" i="14" s="1"/>
  <c r="AA17" i="14"/>
  <c r="N37" i="14" s="1"/>
  <c r="X17" i="14"/>
  <c r="C37" i="14" s="1"/>
  <c r="P17" i="14"/>
  <c r="Q17" i="14"/>
  <c r="R17" i="14"/>
  <c r="S17" i="14"/>
  <c r="N17" i="14"/>
  <c r="B37" i="14" s="1"/>
  <c r="AF11" i="14"/>
  <c r="AG11" i="14"/>
  <c r="AC11" i="14"/>
  <c r="D32" i="14" s="1"/>
  <c r="AD11" i="14"/>
  <c r="F32" i="14" s="1"/>
  <c r="AE11" i="14"/>
  <c r="M32" i="14" s="1"/>
  <c r="N32" i="14" s="1"/>
  <c r="AB11" i="14"/>
  <c r="B32" i="14" s="1"/>
  <c r="Y11" i="14"/>
  <c r="Z11" i="14"/>
  <c r="G27" i="14" s="1"/>
  <c r="AA11" i="14"/>
  <c r="N27" i="14" s="1"/>
  <c r="X11" i="14"/>
  <c r="C27" i="14" s="1"/>
  <c r="Q11" i="14"/>
  <c r="R11" i="14"/>
  <c r="S11" i="14"/>
  <c r="P11" i="14"/>
  <c r="N11" i="14"/>
  <c r="B27" i="14" s="1"/>
  <c r="F27" i="14" s="1"/>
  <c r="T27" i="14"/>
  <c r="V18" i="14"/>
  <c r="W18" i="14" s="1"/>
  <c r="W22" i="14" s="1"/>
  <c r="V12" i="14"/>
  <c r="W12" i="14" s="1"/>
  <c r="W17" i="14" s="1"/>
  <c r="W10" i="14"/>
  <c r="W9" i="14"/>
  <c r="V7" i="14"/>
  <c r="W7" i="14" s="1"/>
  <c r="F36" i="21" l="1"/>
  <c r="W11" i="14"/>
  <c r="E55" i="21"/>
  <c r="H10" i="25" s="1"/>
  <c r="O21" i="22"/>
  <c r="G25" i="25"/>
  <c r="W27" i="23"/>
  <c r="Y8" i="23"/>
  <c r="O51" i="24"/>
  <c r="F34" i="23"/>
  <c r="H44" i="22"/>
  <c r="F24" i="25" s="1"/>
  <c r="AH28" i="15"/>
  <c r="H21" i="22"/>
  <c r="X35" i="15"/>
  <c r="AH35" i="15" s="1"/>
  <c r="X32" i="15"/>
  <c r="AH71" i="19"/>
  <c r="A93" i="19"/>
  <c r="N93" i="19" s="1"/>
  <c r="F34" i="22"/>
  <c r="F44" i="22" s="1"/>
  <c r="E24" i="25" s="1"/>
  <c r="D34" i="22"/>
  <c r="D44" i="22" s="1"/>
  <c r="D24" i="25" s="1"/>
  <c r="F104" i="19"/>
  <c r="E21" i="25" s="1"/>
  <c r="C99" i="19"/>
  <c r="E8" i="25" s="1"/>
  <c r="M82" i="15"/>
  <c r="F20" i="25" s="1"/>
  <c r="E59" i="14"/>
  <c r="H6" i="25" s="1"/>
  <c r="X10" i="22"/>
  <c r="A25" i="22" s="1"/>
  <c r="C25" i="22" s="1"/>
  <c r="B77" i="15"/>
  <c r="B7" i="25" s="1"/>
  <c r="N55" i="21"/>
  <c r="N10" i="25" s="1"/>
  <c r="Z27" i="23"/>
  <c r="J44" i="20"/>
  <c r="F59" i="21"/>
  <c r="E23" i="25" s="1"/>
  <c r="F46" i="24"/>
  <c r="F68" i="24" s="1"/>
  <c r="E26" i="25" s="1"/>
  <c r="B59" i="14"/>
  <c r="B6" i="25" s="1"/>
  <c r="N59" i="14"/>
  <c r="X72" i="19"/>
  <c r="AH72" i="19" s="1"/>
  <c r="M44" i="22"/>
  <c r="X25" i="24"/>
  <c r="A56" i="24" s="1"/>
  <c r="G56" i="24" s="1"/>
  <c r="O37" i="14"/>
  <c r="F56" i="15"/>
  <c r="D104" i="19"/>
  <c r="D21" i="25" s="1"/>
  <c r="H63" i="20"/>
  <c r="C55" i="21"/>
  <c r="E10" i="25" s="1"/>
  <c r="B59" i="21"/>
  <c r="C23" i="25" s="1"/>
  <c r="N41" i="24"/>
  <c r="O41" i="24" s="1"/>
  <c r="X10" i="24"/>
  <c r="A36" i="24" s="1"/>
  <c r="E36" i="24" s="1"/>
  <c r="N99" i="19"/>
  <c r="N8" i="25" s="1"/>
  <c r="C40" i="22"/>
  <c r="E11" i="25" s="1"/>
  <c r="M27" i="14"/>
  <c r="D56" i="15"/>
  <c r="M78" i="19"/>
  <c r="E99" i="19"/>
  <c r="M104" i="19"/>
  <c r="F21" i="25" s="1"/>
  <c r="G55" i="21"/>
  <c r="K10" i="25" s="1"/>
  <c r="H36" i="21"/>
  <c r="F51" i="24"/>
  <c r="N64" i="24"/>
  <c r="O13" i="25" s="1"/>
  <c r="H42" i="24"/>
  <c r="D52" i="24"/>
  <c r="H59" i="21"/>
  <c r="F23" i="25" s="1"/>
  <c r="G40" i="22"/>
  <c r="K11" i="25" s="1"/>
  <c r="G64" i="24"/>
  <c r="H64" i="24" s="1"/>
  <c r="E41" i="24"/>
  <c r="F41" i="24" s="1"/>
  <c r="H56" i="24"/>
  <c r="H68" i="24" s="1"/>
  <c r="F26" i="25" s="1"/>
  <c r="B82" i="15"/>
  <c r="C20" i="25" s="1"/>
  <c r="F88" i="19"/>
  <c r="M88" i="19"/>
  <c r="B99" i="19"/>
  <c r="O88" i="19"/>
  <c r="D88" i="19"/>
  <c r="G99" i="19"/>
  <c r="O30" i="22"/>
  <c r="D30" i="22"/>
  <c r="F30" i="22"/>
  <c r="B40" i="22"/>
  <c r="H30" i="22"/>
  <c r="F45" i="21"/>
  <c r="D45" i="21"/>
  <c r="O45" i="21"/>
  <c r="B55" i="21"/>
  <c r="G59" i="14"/>
  <c r="K6" i="25" s="1"/>
  <c r="F64" i="14"/>
  <c r="E19" i="25" s="1"/>
  <c r="O27" i="14"/>
  <c r="F82" i="15"/>
  <c r="E20" i="25" s="1"/>
  <c r="F78" i="19"/>
  <c r="D78" i="19"/>
  <c r="O78" i="19"/>
  <c r="B104" i="19"/>
  <c r="C21" i="25" s="1"/>
  <c r="E100" i="19"/>
  <c r="F100" i="19" s="1"/>
  <c r="M64" i="14"/>
  <c r="F19" i="25" s="1"/>
  <c r="O60" i="14"/>
  <c r="D82" i="15"/>
  <c r="D20" i="25" s="1"/>
  <c r="H45" i="21"/>
  <c r="C36" i="24"/>
  <c r="X13" i="22"/>
  <c r="A34" i="22" s="1"/>
  <c r="N34" i="22" s="1"/>
  <c r="O47" i="14"/>
  <c r="M56" i="15"/>
  <c r="D34" i="23"/>
  <c r="C46" i="23"/>
  <c r="D27" i="14"/>
  <c r="X61" i="19"/>
  <c r="M66" i="15"/>
  <c r="O56" i="15"/>
  <c r="D56" i="24"/>
  <c r="E64" i="24"/>
  <c r="E40" i="22"/>
  <c r="H11" i="25" s="1"/>
  <c r="F33" i="23"/>
  <c r="O33" i="23"/>
  <c r="X20" i="24"/>
  <c r="A46" i="24" s="1"/>
  <c r="C46" i="24" s="1"/>
  <c r="O48" i="14"/>
  <c r="D47" i="14"/>
  <c r="F47" i="14" s="1"/>
  <c r="X26" i="15"/>
  <c r="O66" i="15"/>
  <c r="D59" i="21"/>
  <c r="D23" i="25" s="1"/>
  <c r="N40" i="22"/>
  <c r="N11" i="25" s="1"/>
  <c r="H33" i="23"/>
  <c r="D51" i="24"/>
  <c r="H51" i="24"/>
  <c r="B63" i="24"/>
  <c r="C64" i="24"/>
  <c r="B45" i="23"/>
  <c r="B12" i="25" s="1"/>
  <c r="O36" i="21"/>
  <c r="B44" i="22"/>
  <c r="C24" i="25" s="1"/>
  <c r="F21" i="22"/>
  <c r="F42" i="24"/>
  <c r="O52" i="24"/>
  <c r="F52" i="24"/>
  <c r="B56" i="24"/>
  <c r="O34" i="23"/>
  <c r="D49" i="20"/>
  <c r="F74" i="20"/>
  <c r="D36" i="21"/>
  <c r="D21" i="22"/>
  <c r="C41" i="24"/>
  <c r="C63" i="24" s="1"/>
  <c r="E13" i="25" s="1"/>
  <c r="G41" i="24"/>
  <c r="H41" i="24" s="1"/>
  <c r="H34" i="23"/>
  <c r="D42" i="24"/>
  <c r="H52" i="24"/>
  <c r="F66" i="15"/>
  <c r="E77" i="15"/>
  <c r="G77" i="15"/>
  <c r="N77" i="15"/>
  <c r="D66" i="15"/>
  <c r="C77" i="15"/>
  <c r="N78" i="15"/>
  <c r="O57" i="15"/>
  <c r="M57" i="15"/>
  <c r="G78" i="15"/>
  <c r="E78" i="15"/>
  <c r="D57" i="15"/>
  <c r="C78" i="15"/>
  <c r="C100" i="19"/>
  <c r="G100" i="19"/>
  <c r="M100" i="19" s="1"/>
  <c r="M79" i="19"/>
  <c r="F79" i="19"/>
  <c r="N100" i="19"/>
  <c r="D79" i="19"/>
  <c r="D32" i="24"/>
  <c r="F32" i="24"/>
  <c r="H32" i="24"/>
  <c r="O32" i="24"/>
  <c r="M68" i="24"/>
  <c r="O46" i="23"/>
  <c r="F46" i="23"/>
  <c r="H46" i="23"/>
  <c r="X18" i="21"/>
  <c r="A40" i="21" s="1"/>
  <c r="X30" i="21"/>
  <c r="A49" i="21" s="1"/>
  <c r="N49" i="21" s="1"/>
  <c r="W18" i="21"/>
  <c r="M59" i="21"/>
  <c r="E85" i="20"/>
  <c r="H9" i="25" s="1"/>
  <c r="K62" i="20"/>
  <c r="K50" i="20"/>
  <c r="F62" i="20"/>
  <c r="K39" i="20"/>
  <c r="H49" i="20"/>
  <c r="H61" i="20"/>
  <c r="C85" i="20"/>
  <c r="E9" i="25" s="1"/>
  <c r="F75" i="20"/>
  <c r="K49" i="20"/>
  <c r="J86" i="20"/>
  <c r="B91" i="20"/>
  <c r="C22" i="25" s="1"/>
  <c r="H62" i="20"/>
  <c r="F49" i="20"/>
  <c r="D91" i="20"/>
  <c r="D22" i="25" s="1"/>
  <c r="F91" i="20"/>
  <c r="E22" i="25" s="1"/>
  <c r="H91" i="20"/>
  <c r="F22" i="25" s="1"/>
  <c r="K40" i="20"/>
  <c r="J85" i="20"/>
  <c r="N9" i="25" s="1"/>
  <c r="F39" i="20"/>
  <c r="C44" i="20"/>
  <c r="D62" i="20"/>
  <c r="H74" i="20"/>
  <c r="F40" i="20"/>
  <c r="E44" i="20"/>
  <c r="F50" i="20"/>
  <c r="F61" i="20"/>
  <c r="K61" i="20"/>
  <c r="H75" i="20"/>
  <c r="E86" i="20"/>
  <c r="G44" i="20"/>
  <c r="F63" i="20"/>
  <c r="K63" i="20"/>
  <c r="D74" i="20"/>
  <c r="K74" i="20"/>
  <c r="B85" i="20"/>
  <c r="B9" i="25" s="1"/>
  <c r="D39" i="20"/>
  <c r="H50" i="20"/>
  <c r="D75" i="20"/>
  <c r="K75" i="20"/>
  <c r="B87" i="20"/>
  <c r="D9" i="25" s="1"/>
  <c r="D14" i="25" s="1"/>
  <c r="D61" i="20"/>
  <c r="D50" i="20"/>
  <c r="D63" i="20"/>
  <c r="U16" i="20"/>
  <c r="A54" i="20" s="1"/>
  <c r="C54" i="20" s="1"/>
  <c r="U32" i="20"/>
  <c r="A79" i="20" s="1"/>
  <c r="U23" i="20"/>
  <c r="A67" i="20" s="1"/>
  <c r="S32" i="20"/>
  <c r="S23" i="20"/>
  <c r="G39" i="20"/>
  <c r="H39" i="20" s="1"/>
  <c r="G40" i="20"/>
  <c r="H40" i="20" s="1"/>
  <c r="V61" i="19"/>
  <c r="V49" i="15"/>
  <c r="V26" i="15"/>
  <c r="D48" i="14"/>
  <c r="F48" i="14" s="1"/>
  <c r="C60" i="14"/>
  <c r="C59" i="14"/>
  <c r="D37" i="14"/>
  <c r="F37" i="14" s="1"/>
  <c r="AR31" i="23"/>
  <c r="U33" i="23"/>
  <c r="V30" i="23"/>
  <c r="U29" i="23"/>
  <c r="V20" i="22"/>
  <c r="AQ21" i="22"/>
  <c r="AQ37" i="21"/>
  <c r="AN40" i="20"/>
  <c r="AQ79" i="19"/>
  <c r="AE57" i="15"/>
  <c r="D64" i="14"/>
  <c r="D19" i="25" s="1"/>
  <c r="B64" i="14"/>
  <c r="V22" i="14"/>
  <c r="A52" i="14" s="1"/>
  <c r="C52" i="14" s="1"/>
  <c r="E52" i="14" s="1"/>
  <c r="G52" i="14" s="1"/>
  <c r="V17" i="14"/>
  <c r="A42" i="14" s="1"/>
  <c r="C42" i="14" s="1"/>
  <c r="E42" i="14" s="1"/>
  <c r="G42" i="14" s="1"/>
  <c r="V11" i="14"/>
  <c r="A32" i="14" s="1"/>
  <c r="E32" i="14" s="1"/>
  <c r="AQ34" i="14"/>
  <c r="E63" i="24" l="1"/>
  <c r="H13" i="25" s="1"/>
  <c r="N36" i="24"/>
  <c r="E54" i="20"/>
  <c r="G20" i="25"/>
  <c r="F27" i="25"/>
  <c r="X49" i="15"/>
  <c r="AH49" i="15" s="1"/>
  <c r="N46" i="24"/>
  <c r="E27" i="25"/>
  <c r="G21" i="25"/>
  <c r="G24" i="25"/>
  <c r="G22" i="25"/>
  <c r="G23" i="25"/>
  <c r="E25" i="22"/>
  <c r="C93" i="19"/>
  <c r="G46" i="24"/>
  <c r="G25" i="22"/>
  <c r="AH32" i="15"/>
  <c r="AH26" i="15"/>
  <c r="A61" i="15"/>
  <c r="E61" i="15" s="1"/>
  <c r="G54" i="20"/>
  <c r="E49" i="21"/>
  <c r="J54" i="20"/>
  <c r="F45" i="23"/>
  <c r="C56" i="24"/>
  <c r="A44" i="22"/>
  <c r="G44" i="22" s="1"/>
  <c r="N25" i="22"/>
  <c r="E56" i="24"/>
  <c r="AH61" i="19"/>
  <c r="A83" i="19"/>
  <c r="E83" i="19" s="1"/>
  <c r="G49" i="21"/>
  <c r="G36" i="24"/>
  <c r="G93" i="19"/>
  <c r="N56" i="24"/>
  <c r="C49" i="21"/>
  <c r="G34" i="22"/>
  <c r="E93" i="19"/>
  <c r="A68" i="24"/>
  <c r="N68" i="24" s="1"/>
  <c r="AQ34" i="24"/>
  <c r="O45" i="23"/>
  <c r="E46" i="24"/>
  <c r="E34" i="22"/>
  <c r="C33" i="23"/>
  <c r="C45" i="23" s="1"/>
  <c r="E12" i="25" s="1"/>
  <c r="Z32" i="23"/>
  <c r="O64" i="24"/>
  <c r="N63" i="24"/>
  <c r="N13" i="25" s="1"/>
  <c r="H45" i="23"/>
  <c r="L13" i="25"/>
  <c r="O59" i="14"/>
  <c r="N6" i="25"/>
  <c r="K86" i="20"/>
  <c r="O9" i="25"/>
  <c r="E40" i="21"/>
  <c r="C40" i="21"/>
  <c r="N40" i="21"/>
  <c r="G40" i="21"/>
  <c r="F78" i="15"/>
  <c r="I7" i="25"/>
  <c r="I8" i="25"/>
  <c r="O78" i="15"/>
  <c r="O7" i="25"/>
  <c r="M77" i="15"/>
  <c r="K7" i="25"/>
  <c r="K8" i="25"/>
  <c r="C32" i="14"/>
  <c r="G32" i="14" s="1"/>
  <c r="I13" i="25"/>
  <c r="F64" i="24"/>
  <c r="A59" i="21"/>
  <c r="F86" i="20"/>
  <c r="I9" i="25"/>
  <c r="O100" i="19"/>
  <c r="O8" i="25"/>
  <c r="D100" i="19"/>
  <c r="F8" i="25"/>
  <c r="M78" i="15"/>
  <c r="L8" i="25"/>
  <c r="L7" i="25"/>
  <c r="D77" i="15"/>
  <c r="E7" i="25"/>
  <c r="F77" i="15"/>
  <c r="H8" i="25"/>
  <c r="H7" i="25"/>
  <c r="F13" i="25"/>
  <c r="D64" i="24"/>
  <c r="F12" i="25"/>
  <c r="D46" i="23"/>
  <c r="N64" i="14"/>
  <c r="B8" i="25"/>
  <c r="D99" i="19"/>
  <c r="O99" i="19"/>
  <c r="M99" i="19"/>
  <c r="F99" i="19"/>
  <c r="A64" i="14"/>
  <c r="B19" i="25" s="1"/>
  <c r="D60" i="14"/>
  <c r="F60" i="14" s="1"/>
  <c r="F6" i="25"/>
  <c r="B68" i="24"/>
  <c r="C26" i="25" s="1"/>
  <c r="D68" i="24"/>
  <c r="D26" i="25" s="1"/>
  <c r="D78" i="15"/>
  <c r="F7" i="25"/>
  <c r="B13" i="25"/>
  <c r="F63" i="24"/>
  <c r="D63" i="24"/>
  <c r="C34" i="22"/>
  <c r="D41" i="24"/>
  <c r="Y27" i="23"/>
  <c r="A38" i="23" s="1"/>
  <c r="F55" i="21"/>
  <c r="D55" i="21"/>
  <c r="O55" i="21"/>
  <c r="B10" i="25"/>
  <c r="H55" i="21"/>
  <c r="O40" i="22"/>
  <c r="B11" i="25"/>
  <c r="D40" i="22"/>
  <c r="F40" i="22"/>
  <c r="H40" i="22"/>
  <c r="G63" i="24"/>
  <c r="K13" i="25" s="1"/>
  <c r="O77" i="15"/>
  <c r="N7" i="25"/>
  <c r="D59" i="14"/>
  <c r="F59" i="14" s="1"/>
  <c r="E6" i="25"/>
  <c r="C19" i="25"/>
  <c r="G19" i="25" s="1"/>
  <c r="G86" i="20"/>
  <c r="E67" i="20"/>
  <c r="C67" i="20"/>
  <c r="J67" i="20"/>
  <c r="G67" i="20"/>
  <c r="E79" i="20"/>
  <c r="C79" i="20"/>
  <c r="A91" i="20"/>
  <c r="B22" i="25" s="1"/>
  <c r="J79" i="20"/>
  <c r="G79" i="20"/>
  <c r="G85" i="20"/>
  <c r="H87" i="20"/>
  <c r="D87" i="20"/>
  <c r="K87" i="20"/>
  <c r="F87" i="20"/>
  <c r="K85" i="20"/>
  <c r="F85" i="20"/>
  <c r="D85" i="20"/>
  <c r="U36" i="24"/>
  <c r="X29" i="24"/>
  <c r="V33" i="24"/>
  <c r="X32" i="24"/>
  <c r="X18" i="22"/>
  <c r="X15" i="22"/>
  <c r="U22" i="22"/>
  <c r="U19" i="22"/>
  <c r="U39" i="21"/>
  <c r="X32" i="21"/>
  <c r="Q42" i="20"/>
  <c r="R39" i="20"/>
  <c r="Q38" i="20"/>
  <c r="U37" i="20"/>
  <c r="U34" i="20"/>
  <c r="T77" i="19"/>
  <c r="T81" i="19"/>
  <c r="X51" i="15"/>
  <c r="U33" i="14"/>
  <c r="T32" i="14"/>
  <c r="W31" i="14"/>
  <c r="T36" i="14"/>
  <c r="W26" i="14"/>
  <c r="H19" i="25" l="1"/>
  <c r="B26" i="25"/>
  <c r="A71" i="15"/>
  <c r="E71" i="15" s="1"/>
  <c r="N44" i="22"/>
  <c r="A104" i="19"/>
  <c r="B21" i="25" s="1"/>
  <c r="H21" i="25" s="1"/>
  <c r="C83" i="19"/>
  <c r="E44" i="22"/>
  <c r="G68" i="24"/>
  <c r="G83" i="19"/>
  <c r="N83" i="19"/>
  <c r="C61" i="15"/>
  <c r="C44" i="22"/>
  <c r="H22" i="25"/>
  <c r="D27" i="25"/>
  <c r="G26" i="25"/>
  <c r="H26" i="25" s="1"/>
  <c r="B24" i="25"/>
  <c r="H24" i="25" s="1"/>
  <c r="G61" i="15"/>
  <c r="N61" i="15"/>
  <c r="D45" i="23"/>
  <c r="C38" i="23"/>
  <c r="A50" i="23"/>
  <c r="N38" i="23"/>
  <c r="E38" i="23"/>
  <c r="G38" i="23"/>
  <c r="O63" i="24"/>
  <c r="D33" i="23"/>
  <c r="N71" i="15"/>
  <c r="H14" i="25"/>
  <c r="O14" i="25"/>
  <c r="E14" i="25"/>
  <c r="N14" i="25"/>
  <c r="I14" i="25"/>
  <c r="E68" i="24"/>
  <c r="H63" i="24"/>
  <c r="C27" i="25"/>
  <c r="E59" i="21"/>
  <c r="C59" i="21"/>
  <c r="B23" i="25"/>
  <c r="H23" i="25" s="1"/>
  <c r="N59" i="21"/>
  <c r="G59" i="21"/>
  <c r="H86" i="20"/>
  <c r="L9" i="25"/>
  <c r="L14" i="25" s="1"/>
  <c r="B14" i="25"/>
  <c r="C68" i="24"/>
  <c r="H85" i="20"/>
  <c r="K9" i="25"/>
  <c r="K14" i="25" s="1"/>
  <c r="C64" i="14"/>
  <c r="E64" i="14" s="1"/>
  <c r="G64" i="14" s="1"/>
  <c r="C91" i="20"/>
  <c r="E91" i="20"/>
  <c r="G91" i="20"/>
  <c r="J91" i="20"/>
  <c r="G71" i="15" l="1"/>
  <c r="C71" i="15"/>
  <c r="A82" i="15"/>
  <c r="N82" i="15" s="1"/>
  <c r="E104" i="19"/>
  <c r="N104" i="19"/>
  <c r="G104" i="19"/>
  <c r="C104" i="19"/>
  <c r="G27" i="25"/>
  <c r="E82" i="15"/>
  <c r="B20" i="25"/>
  <c r="H20" i="25" s="1"/>
  <c r="G82" i="15"/>
  <c r="G50" i="23"/>
  <c r="B25" i="25"/>
  <c r="H25" i="25" s="1"/>
  <c r="C50" i="23"/>
  <c r="N50" i="23"/>
  <c r="E50" i="23"/>
  <c r="BA157" i="5"/>
  <c r="BB157" i="5" s="1"/>
  <c r="BA143" i="5"/>
  <c r="C82" i="15" l="1"/>
  <c r="B27" i="25"/>
  <c r="B30" i="25" s="1"/>
  <c r="T171" i="5"/>
  <c r="H27" i="25" l="1"/>
  <c r="V171" i="5"/>
  <c r="U171" i="5"/>
  <c r="Z171" i="5"/>
  <c r="AU180" i="5" l="1"/>
  <c r="Z176" i="5"/>
  <c r="C40" i="20"/>
  <c r="D40" i="20" s="1"/>
  <c r="C86" i="20" l="1"/>
  <c r="D86" i="20" l="1"/>
  <c r="F9" i="25"/>
  <c r="F14"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PLANEACION</author>
    <author>tc={0A21FA19-70DD-45EE-B8C9-85FD405D9866}</author>
    <author>tc={0A67A55F-848E-46B4-8ED9-F912A0C586D4}</author>
    <author>tc={84725DC1-8087-4ED2-B944-4ACEB42802A9}</author>
  </authors>
  <commentList>
    <comment ref="Y8" authorId="0" shapeId="0" xr:uid="{4BED95CB-9CCF-4177-B0DF-2548C732FA83}">
      <text>
        <r>
          <rPr>
            <sz val="9"/>
            <color rgb="FF000000"/>
            <rFont val="Tahoma"/>
            <family val="2"/>
          </rPr>
          <t xml:space="preserve">Yan Marcil
</t>
        </r>
        <r>
          <rPr>
            <sz val="9"/>
            <color rgb="FF000000"/>
            <rFont val="Tahoma"/>
            <family val="2"/>
          </rPr>
          <t xml:space="preserve">Ricardo Castrillon
</t>
        </r>
        <r>
          <rPr>
            <sz val="9"/>
            <color rgb="FF000000"/>
            <rFont val="Tahoma"/>
            <family val="2"/>
          </rPr>
          <t xml:space="preserve">Vanesa Alvarez
</t>
        </r>
        <r>
          <rPr>
            <sz val="9"/>
            <color rgb="FF000000"/>
            <rFont val="Tahoma"/>
            <family val="2"/>
          </rPr>
          <t xml:space="preserve">Hector Garro
</t>
        </r>
        <r>
          <rPr>
            <sz val="9"/>
            <color rgb="FF000000"/>
            <rFont val="Tahoma"/>
            <family val="2"/>
          </rPr>
          <t xml:space="preserve">Paula Salazar
</t>
        </r>
        <r>
          <rPr>
            <sz val="9"/>
            <color rgb="FF000000"/>
            <rFont val="Tahoma"/>
            <family val="2"/>
          </rPr>
          <t xml:space="preserve">Auren (Revisoria fiscal)
</t>
        </r>
        <r>
          <rPr>
            <sz val="9"/>
            <color rgb="FF000000"/>
            <rFont val="Tahoma"/>
            <family val="2"/>
          </rPr>
          <t>Mercadeo y contratacion</t>
        </r>
      </text>
    </comment>
    <comment ref="Y19" authorId="0" shapeId="0" xr:uid="{4784B2EB-F9E7-4EA8-AAE4-396DAE8959ED}">
      <text>
        <r>
          <rPr>
            <sz val="9"/>
            <color rgb="FF000000"/>
            <rFont val="Tahoma"/>
            <family val="2"/>
          </rPr>
          <t xml:space="preserve">Victor Puerta
</t>
        </r>
        <r>
          <rPr>
            <sz val="9"/>
            <color rgb="FF000000"/>
            <rFont val="Tahoma"/>
            <family val="2"/>
          </rPr>
          <t xml:space="preserve">Angela Guerra
</t>
        </r>
        <r>
          <rPr>
            <sz val="9"/>
            <color rgb="FF000000"/>
            <rFont val="Tahoma"/>
            <family val="2"/>
          </rPr>
          <t xml:space="preserve">Saray 
</t>
        </r>
        <r>
          <rPr>
            <sz val="9"/>
            <color rgb="FF000000"/>
            <rFont val="Tahoma"/>
            <family val="2"/>
          </rPr>
          <t xml:space="preserve">lider cartera
</t>
        </r>
        <r>
          <rPr>
            <sz val="9"/>
            <color rgb="FF000000"/>
            <rFont val="Tahoma"/>
            <family val="2"/>
          </rPr>
          <t xml:space="preserve">Alex florez
</t>
        </r>
        <r>
          <rPr>
            <sz val="9"/>
            <color rgb="FF000000"/>
            <rFont val="Tahoma"/>
            <family val="2"/>
          </rPr>
          <t xml:space="preserve">Elkin Marin
</t>
        </r>
        <r>
          <rPr>
            <sz val="9"/>
            <color rgb="FF000000"/>
            <rFont val="Tahoma"/>
            <family val="2"/>
          </rPr>
          <t xml:space="preserve">Sigma
</t>
        </r>
        <r>
          <rPr>
            <sz val="9"/>
            <color rgb="FF000000"/>
            <rFont val="Tahoma"/>
            <family val="2"/>
          </rPr>
          <t xml:space="preserve">Aseosoria e inversiones
</t>
        </r>
        <r>
          <rPr>
            <sz val="9"/>
            <color rgb="FF000000"/>
            <rFont val="Tahoma"/>
            <family val="2"/>
          </rPr>
          <t xml:space="preserve">Alex arias 
</t>
        </r>
        <r>
          <rPr>
            <sz val="9"/>
            <color rgb="FF000000"/>
            <rFont val="Tahoma"/>
            <family val="2"/>
          </rPr>
          <t xml:space="preserve">Mario Puerta
</t>
        </r>
        <r>
          <rPr>
            <sz val="9"/>
            <color rgb="FF000000"/>
            <rFont val="Tahoma"/>
            <family val="2"/>
          </rPr>
          <t xml:space="preserve">Paula Parra
</t>
        </r>
        <r>
          <rPr>
            <sz val="9"/>
            <color rgb="FF000000"/>
            <rFont val="Tahoma"/>
            <family val="2"/>
          </rPr>
          <t xml:space="preserve">Andra Palacios
</t>
        </r>
        <r>
          <rPr>
            <sz val="9"/>
            <color rgb="FF000000"/>
            <rFont val="Tahoma"/>
            <family val="2"/>
          </rPr>
          <t xml:space="preserve">Pablo Tesorero
</t>
        </r>
        <r>
          <rPr>
            <sz val="9"/>
            <color rgb="FF000000"/>
            <rFont val="Tahoma"/>
            <family val="2"/>
          </rPr>
          <t xml:space="preserve">Laeined
</t>
        </r>
        <r>
          <rPr>
            <sz val="9"/>
            <color rgb="FF000000"/>
            <rFont val="Tahoma"/>
            <family val="2"/>
          </rPr>
          <t xml:space="preserve">Leocaris
</t>
        </r>
        <r>
          <rPr>
            <sz val="9"/>
            <color rgb="FF000000"/>
            <rFont val="Tahoma"/>
            <family val="2"/>
          </rPr>
          <t xml:space="preserve">Ana Gregoria
</t>
        </r>
        <r>
          <rPr>
            <sz val="9"/>
            <color rgb="FF000000"/>
            <rFont val="Tahoma"/>
            <family val="2"/>
          </rPr>
          <t xml:space="preserve">Sandra chica
</t>
        </r>
        <r>
          <rPr>
            <sz val="9"/>
            <color rgb="FF000000"/>
            <rFont val="Tahoma"/>
            <family val="2"/>
          </rPr>
          <t xml:space="preserve">Ana isabel
</t>
        </r>
        <r>
          <rPr>
            <sz val="9"/>
            <color rgb="FF000000"/>
            <rFont val="Tahoma"/>
            <family val="2"/>
          </rPr>
          <t xml:space="preserve">Maria Elena
</t>
        </r>
        <r>
          <rPr>
            <sz val="9"/>
            <color rgb="FF000000"/>
            <rFont val="Tahoma"/>
            <family val="2"/>
          </rPr>
          <t>Famy Financiera</t>
        </r>
      </text>
    </comment>
    <comment ref="Y56" authorId="0" shapeId="0" xr:uid="{D7E6F7AE-9902-4768-A50A-EEB07D1CF8ED}">
      <text>
        <r>
          <rPr>
            <sz val="9"/>
            <color rgb="FF000000"/>
            <rFont val="Tahoma"/>
            <family val="2"/>
          </rPr>
          <t xml:space="preserve">mantenimientos
</t>
        </r>
        <r>
          <rPr>
            <sz val="9"/>
            <color rgb="FF000000"/>
            <rFont val="Tahoma"/>
            <family val="2"/>
          </rPr>
          <t xml:space="preserve">vigilancia
</t>
        </r>
        <r>
          <rPr>
            <sz val="9"/>
            <color rgb="FF000000"/>
            <rFont val="Tahoma"/>
            <family val="2"/>
          </rPr>
          <t xml:space="preserve">alimentacion
</t>
        </r>
        <r>
          <rPr>
            <sz val="9"/>
            <color rgb="FF000000"/>
            <rFont val="Tahoma"/>
            <family val="2"/>
          </rPr>
          <t xml:space="preserve">aseo
</t>
        </r>
        <r>
          <rPr>
            <sz val="9"/>
            <color rgb="FF000000"/>
            <rFont val="Tahoma"/>
            <family val="2"/>
          </rPr>
          <t xml:space="preserve">famy
</t>
        </r>
        <r>
          <rPr>
            <sz val="9"/>
            <color rgb="FF000000"/>
            <rFont val="Tahoma"/>
            <family val="2"/>
          </rPr>
          <t xml:space="preserve">planta
</t>
        </r>
        <r>
          <rPr>
            <sz val="9"/>
            <color rgb="FF000000"/>
            <rFont val="Tahoma"/>
            <family val="2"/>
          </rPr>
          <t xml:space="preserve">ops
</t>
        </r>
        <r>
          <rPr>
            <sz val="9"/>
            <color rgb="FF000000"/>
            <rFont val="Tahoma"/>
            <family val="2"/>
          </rPr>
          <t xml:space="preserve">farmacia
</t>
        </r>
      </text>
    </comment>
    <comment ref="J106" authorId="1" shapeId="0" xr:uid="{DC9796C6-220F-448C-B966-356EC786B3D3}">
      <text>
        <r>
          <rPr>
            <b/>
            <sz val="9"/>
            <color indexed="81"/>
            <rFont val="Tahoma"/>
            <family val="2"/>
          </rPr>
          <t>ESTE INDICADOR ES LA COORDINACIÓN MEDICA.</t>
        </r>
        <r>
          <rPr>
            <sz val="9"/>
            <color indexed="81"/>
            <rFont val="Tahoma"/>
            <family val="2"/>
          </rPr>
          <t xml:space="preserve">
</t>
        </r>
      </text>
    </comment>
    <comment ref="P123" authorId="2" shapeId="0" xr:uid="{0A21FA19-70DD-45EE-B8C9-85FD405D9866}">
      <text>
        <t xml:space="preserve">[Threaded comment]
Your version of Excel allows you to read this threaded comment; however, any edits to it will get removed if the file is opened in a newer version of Excel. Learn more: https://go.microsoft.com/fwlink/?linkid=870924
Comment:
    El Índice de Ejecución de Mantenimiento Preventivo (IEMP) mide la efectividad en la realización del mantenimiento preventivo en equipos de cómputo, evaluando la proporción de equipos que han recibido mantenimiento preventivo con respecto al total de equipos en el entorno. </t>
      </text>
    </comment>
    <comment ref="P124" authorId="3" shapeId="0" xr:uid="{0A67A55F-848E-46B4-8ED9-F912A0C586D4}">
      <text>
        <t xml:space="preserve">[Threaded comment]
Your version of Excel allows you to read this threaded comment; however, any edits to it will get removed if the file is opened in a newer version of Excel. Learn more: https://go.microsoft.com/fwlink/?linkid=870924
Comment:
    El Índice de Cobertura de Licencias de Antivirus (ICLA) mide la proporción de equipos de cómputo con licencias de antivirus activas con respecto al total de equipos que requieren protección. </t>
      </text>
    </comment>
    <comment ref="P125" authorId="4" shapeId="0" xr:uid="{84725DC1-8087-4ED2-B944-4ACEB42802A9}">
      <text>
        <t xml:space="preserve">[Threaded comment]
Your version of Excel allows you to read this threaded comment; however, any edits to it will get removed if the file is opened in a newer version of Excel. Learn more: https://go.microsoft.com/fwlink/?linkid=870924
Comment:
    El Índice de Resolución de Requerimientos (IRR) mide la eficiencia en la gestión de requerimientos a través de la mesa de ayuda, evaluando la proporción de requerimientos resueltos con respecto al total de requerimientos recibidos. 
</t>
      </text>
    </comment>
    <comment ref="Y157" authorId="0" shapeId="0" xr:uid="{871A43A4-D4BB-4524-91F7-C9517F24128E}">
      <text>
        <r>
          <rPr>
            <sz val="9"/>
            <color rgb="FF000000"/>
            <rFont val="Tahoma"/>
            <family val="2"/>
          </rPr>
          <t xml:space="preserve">cuotas partes
</t>
        </r>
        <r>
          <rPr>
            <sz val="9"/>
            <color rgb="FF000000"/>
            <rFont val="Tahoma"/>
            <family val="2"/>
          </rPr>
          <t xml:space="preserve">lázaro
</t>
        </r>
        <r>
          <rPr>
            <sz val="9"/>
            <color rgb="FF000000"/>
            <rFont val="Tahoma"/>
            <family val="2"/>
          </rPr>
          <t xml:space="preserve">juan esteban
</t>
        </r>
        <r>
          <rPr>
            <sz val="9"/>
            <color rgb="FF000000"/>
            <rFont val="Tahoma"/>
            <family val="2"/>
          </rPr>
          <t xml:space="preserve">José David
</t>
        </r>
        <r>
          <rPr>
            <sz val="9"/>
            <color rgb="FF000000"/>
            <rFont val="Tahoma"/>
            <family val="2"/>
          </rPr>
          <t xml:space="preserve">Lucy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B14" authorId="0" shapeId="0" xr:uid="{96332575-69BD-489B-A2A0-DA7910E3CC2C}">
      <text>
        <r>
          <rPr>
            <b/>
            <sz val="9"/>
            <color indexed="81"/>
            <rFont val="Tahoma"/>
            <family val="2"/>
          </rPr>
          <t>PLANEACION:</t>
        </r>
        <r>
          <rPr>
            <sz val="9"/>
            <color indexed="81"/>
            <rFont val="Tahoma"/>
            <family val="2"/>
          </rPr>
          <t xml:space="preserve">
se sube a 82 la sumatoria porque en cada trimestre que se coje el porcentaje y se suma como uno pero el cumplimiento se da sobre los 58 actividades.</t>
        </r>
      </text>
    </comment>
    <comment ref="AO14" authorId="0" shapeId="0" xr:uid="{CB929D4E-EEAF-4E35-83A8-D43FE01F8BF7}">
      <text>
        <r>
          <rPr>
            <b/>
            <sz val="9"/>
            <color indexed="81"/>
            <rFont val="Tahoma"/>
            <family val="2"/>
          </rPr>
          <t>PLANEACION:</t>
        </r>
        <r>
          <rPr>
            <sz val="9"/>
            <color indexed="81"/>
            <rFont val="Tahoma"/>
            <family val="2"/>
          </rPr>
          <t xml:space="preserve">
se sube a 82 la sumatoria porque en cada trimestre que se coje el porcentaje y se suma como uno pero el cumplimiento se da sobre los 58 actividades.</t>
        </r>
      </text>
    </comment>
    <comment ref="B17" authorId="0" shapeId="0" xr:uid="{F9DAD86C-3B9F-4838-BAD8-5B1D394C0B78}">
      <text>
        <r>
          <rPr>
            <b/>
            <sz val="9"/>
            <color indexed="81"/>
            <rFont val="Tahoma"/>
            <family val="2"/>
          </rPr>
          <t>PLANEACION:</t>
        </r>
        <r>
          <rPr>
            <sz val="9"/>
            <color indexed="81"/>
            <rFont val="Tahoma"/>
            <family val="2"/>
          </rPr>
          <t xml:space="preserve">
se sube a 11.382la sumatoria porque en cada trimestre que se coje el porcentaje y se suma como uno pero el cumplimiento se da sobre los 11,328 actividades.</t>
        </r>
      </text>
    </comment>
    <comment ref="AO17" authorId="0" shapeId="0" xr:uid="{AA642503-5730-4A1B-9E75-994CDB7132B1}">
      <text>
        <r>
          <rPr>
            <b/>
            <sz val="9"/>
            <color indexed="81"/>
            <rFont val="Tahoma"/>
            <family val="2"/>
          </rPr>
          <t>PLANEACION:</t>
        </r>
        <r>
          <rPr>
            <sz val="9"/>
            <color indexed="81"/>
            <rFont val="Tahoma"/>
            <family val="2"/>
          </rPr>
          <t xml:space="preserve">
se sube a 11.382la sumatoria porque en cada trimestre que se coje el porcentaje y se suma como uno pero el cumplimiento se da sobre los 11,328 actividades.</t>
        </r>
      </text>
    </comment>
    <comment ref="B18" authorId="0" shapeId="0" xr:uid="{F2A9F736-6820-4C2D-8A26-113E4DB88067}">
      <text>
        <r>
          <rPr>
            <b/>
            <sz val="9"/>
            <color indexed="81"/>
            <rFont val="Tahoma"/>
            <family val="2"/>
          </rPr>
          <t>PLANEACION:</t>
        </r>
        <r>
          <rPr>
            <sz val="9"/>
            <color indexed="81"/>
            <rFont val="Tahoma"/>
            <family val="2"/>
          </rPr>
          <t xml:space="preserve">
se sube a 24 la sumatoria porque en cada trimestre que se coje el porcentaje y se suma como uno pero el cumplimiento se da sobre los 12 actividades.</t>
        </r>
      </text>
    </comment>
    <comment ref="AO18" authorId="0" shapeId="0" xr:uid="{DD14E522-6168-4B3D-816B-1798D1DD34A4}">
      <text>
        <r>
          <rPr>
            <b/>
            <sz val="9"/>
            <color indexed="81"/>
            <rFont val="Tahoma"/>
            <family val="2"/>
          </rPr>
          <t>PLANEACION:</t>
        </r>
        <r>
          <rPr>
            <sz val="9"/>
            <color indexed="81"/>
            <rFont val="Tahoma"/>
            <family val="2"/>
          </rPr>
          <t xml:space="preserve">
se sube a 24 la sumatoria porque en cada trimestre que se coje el porcentaje y se suma como uno pero el cumplimiento se da sobre los 12 actividades.</t>
        </r>
      </text>
    </comment>
    <comment ref="B24" authorId="0" shapeId="0" xr:uid="{91DCAEA7-87B8-4609-9EB4-FB76A5E75EF6}">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 ref="AO24" authorId="0" shapeId="0" xr:uid="{7A10105B-4212-44CC-85DC-75F2D6D33C30}">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B14" authorId="0" shapeId="0" xr:uid="{283B55B2-A492-4AE2-A1E3-17E1221562FF}">
      <text>
        <r>
          <rPr>
            <b/>
            <sz val="9"/>
            <color indexed="81"/>
            <rFont val="Tahoma"/>
            <family val="2"/>
          </rPr>
          <t>PLANEACION:</t>
        </r>
        <r>
          <rPr>
            <sz val="9"/>
            <color indexed="81"/>
            <rFont val="Tahoma"/>
            <family val="2"/>
          </rPr>
          <t xml:space="preserve">
se sube a 82 la sumatoria porque en cada trimestre que se coje el porcentaje y se suma como uno pero el cumplimiento se da sobre los 58 actividades.</t>
        </r>
      </text>
    </comment>
    <comment ref="B17" authorId="0" shapeId="0" xr:uid="{C2CC353C-68A7-47B4-BD4B-200F26906146}">
      <text>
        <r>
          <rPr>
            <b/>
            <sz val="9"/>
            <color indexed="81"/>
            <rFont val="Tahoma"/>
            <family val="2"/>
          </rPr>
          <t>PLANEACION:</t>
        </r>
        <r>
          <rPr>
            <sz val="9"/>
            <color indexed="81"/>
            <rFont val="Tahoma"/>
            <family val="2"/>
          </rPr>
          <t xml:space="preserve">
se sube a 11.382la sumatoria porque en cada trimestre que se coje el porcentaje y se suma como uno pero el cumplimiento se da sobre los 11,328 actividades.</t>
        </r>
      </text>
    </comment>
    <comment ref="B18" authorId="0" shapeId="0" xr:uid="{C2D5D921-D6B8-42B1-8987-53DD7F237FB7}">
      <text>
        <r>
          <rPr>
            <b/>
            <sz val="9"/>
            <color indexed="81"/>
            <rFont val="Tahoma"/>
            <family val="2"/>
          </rPr>
          <t>PLANEACION:</t>
        </r>
        <r>
          <rPr>
            <sz val="9"/>
            <color indexed="81"/>
            <rFont val="Tahoma"/>
            <family val="2"/>
          </rPr>
          <t xml:space="preserve">
se sube a 24 la sumatoria porque en cada trimestre que se coje el porcentaje y se suma como uno pero el cumplimiento se da sobre los 12 actividades.</t>
        </r>
      </text>
    </comment>
    <comment ref="B24" authorId="0" shapeId="0" xr:uid="{74512112-711A-477A-B10F-1D2D09D62DBA}">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B13" authorId="0" shapeId="0" xr:uid="{2A64BB74-CB83-4652-B50A-8C80EE681A23}">
      <text>
        <r>
          <rPr>
            <b/>
            <sz val="9"/>
            <color indexed="81"/>
            <rFont val="Tahoma"/>
            <family val="2"/>
          </rPr>
          <t>PLANEACION:</t>
        </r>
        <r>
          <rPr>
            <sz val="9"/>
            <color indexed="81"/>
            <rFont val="Tahoma"/>
            <family val="2"/>
          </rPr>
          <t xml:space="preserve">
se sube a 82 la sumatoria porque en cada trimestre que se coje el porcentaje y se suma como uno pero el cumplimiento se da sobre los 58 actividades.</t>
        </r>
      </text>
    </comment>
    <comment ref="B16" authorId="0" shapeId="0" xr:uid="{D8664A12-7AF7-4FF6-A44C-5A76D331323A}">
      <text>
        <r>
          <rPr>
            <b/>
            <sz val="9"/>
            <color indexed="81"/>
            <rFont val="Tahoma"/>
            <family val="2"/>
          </rPr>
          <t>PLANEACION:</t>
        </r>
        <r>
          <rPr>
            <sz val="9"/>
            <color indexed="81"/>
            <rFont val="Tahoma"/>
            <family val="2"/>
          </rPr>
          <t xml:space="preserve">
se sube a 11.382la sumatoria porque en cada trimestre que se coje el porcentaje y se suma como uno pero el cumplimiento se da sobre los 11,328 actividades.</t>
        </r>
      </text>
    </comment>
    <comment ref="B17" authorId="0" shapeId="0" xr:uid="{50F45C84-0903-4767-A3F3-A286A6CB99EE}">
      <text>
        <r>
          <rPr>
            <b/>
            <sz val="9"/>
            <color indexed="81"/>
            <rFont val="Tahoma"/>
            <family val="2"/>
          </rPr>
          <t>PLANEACION:</t>
        </r>
        <r>
          <rPr>
            <sz val="9"/>
            <color indexed="81"/>
            <rFont val="Tahoma"/>
            <family val="2"/>
          </rPr>
          <t xml:space="preserve">
se sube a 24 la sumatoria porque en cada trimestre que se coje el porcentaje y se suma como uno pero el cumplimiento se da sobre los 12 actividades.</t>
        </r>
      </text>
    </comment>
    <comment ref="B23" authorId="0" shapeId="0" xr:uid="{2555BD38-EAC9-4231-80E2-25FC05C3BA87}">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PLANEACION</author>
    <author>RAMON ANTONIO LEMA HUTADO</author>
    <author>Mario Alberto Puerta Valderrama</author>
  </authors>
  <commentList>
    <comment ref="P19" authorId="0" shapeId="0" xr:uid="{F90EA6EC-930C-466B-90D7-947DB976C1C9}">
      <text>
        <r>
          <rPr>
            <b/>
            <sz val="9"/>
            <color indexed="81"/>
            <rFont val="Tahoma"/>
            <family val="2"/>
          </rPr>
          <t>PLANEACION:2LL 25 % SE TRADUCE EN EL 100% DE CUMPLIMIENTO DE CADA TRIMESTRE</t>
        </r>
      </text>
    </comment>
    <comment ref="P22" authorId="0" shapeId="0" xr:uid="{DE3D0117-EFAC-4011-80C3-76676854F675}">
      <text>
        <r>
          <rPr>
            <b/>
            <sz val="9"/>
            <color indexed="81"/>
            <rFont val="Tahoma"/>
            <family val="2"/>
          </rPr>
          <t>PLANEACION:2LL 25 % SE TRADUCE EN EL 100% DE CUMPLIMIENTO DE CADA TRIMESTRE</t>
        </r>
      </text>
    </comment>
    <comment ref="P23" authorId="0" shapeId="0" xr:uid="{4A793574-C1EC-4313-8FDD-34636917D45D}">
      <text>
        <r>
          <rPr>
            <b/>
            <sz val="9"/>
            <color indexed="81"/>
            <rFont val="Tahoma"/>
            <family val="2"/>
          </rPr>
          <t>PLANEACION:2LL 25 % SE TRADUCE EN EL 100% DE CUMPLIMIENTO DE CADA TRIMESTRE</t>
        </r>
      </text>
    </comment>
    <comment ref="P24" authorId="0" shapeId="0" xr:uid="{1635FF81-961D-488A-8C9B-19418AA170BF}">
      <text>
        <r>
          <rPr>
            <b/>
            <sz val="9"/>
            <color indexed="81"/>
            <rFont val="Tahoma"/>
            <family val="2"/>
          </rPr>
          <t>PLANEACION:2LL 25 % SE TRADUCE EN EL 100% DE CUMPLIMIENTO DE CADA TRIMESTRE</t>
        </r>
      </text>
    </comment>
    <comment ref="P25" authorId="0" shapeId="0" xr:uid="{64C52697-3C3A-4171-A858-3DA5A335F3F3}">
      <text>
        <r>
          <rPr>
            <b/>
            <sz val="9"/>
            <color indexed="81"/>
            <rFont val="Tahoma"/>
            <family val="2"/>
          </rPr>
          <t>PLANEACION:2LL 25 % SE TRADUCE EN EL 100% DE CUMPLIMIENTO DE CADA TRIMESTRE</t>
        </r>
      </text>
    </comment>
    <comment ref="P31" authorId="1" shapeId="0" xr:uid="{7F352229-0E7E-4CCD-B79E-CA90E3FD2440}">
      <text>
        <r>
          <rPr>
            <b/>
            <sz val="9"/>
            <color indexed="81"/>
            <rFont val="Tahoma"/>
            <family val="2"/>
          </rPr>
          <t>RAMON ANTONIO LEMA HUTADO:</t>
        </r>
        <r>
          <rPr>
            <sz val="9"/>
            <color indexed="81"/>
            <rFont val="Tahoma"/>
            <family val="2"/>
          </rPr>
          <t xml:space="preserve">
este 25 es el 100% de cada trimestre.</t>
        </r>
      </text>
    </comment>
    <comment ref="P32" authorId="1" shapeId="0" xr:uid="{401E32EF-3F94-4806-B6AD-CA2902703223}">
      <text>
        <r>
          <rPr>
            <b/>
            <sz val="9"/>
            <color indexed="81"/>
            <rFont val="Tahoma"/>
            <family val="2"/>
          </rPr>
          <t>RAMON ANTONIO LEMA HUTADO:</t>
        </r>
        <r>
          <rPr>
            <sz val="9"/>
            <color indexed="81"/>
            <rFont val="Tahoma"/>
            <family val="2"/>
          </rPr>
          <t xml:space="preserve">
este 25 es el 100% de cada trimestre.</t>
        </r>
      </text>
    </comment>
    <comment ref="P33" authorId="1" shapeId="0" xr:uid="{37721357-5A2E-46D4-841E-0E17D372BD1E}">
      <text>
        <r>
          <rPr>
            <b/>
            <sz val="9"/>
            <color indexed="81"/>
            <rFont val="Tahoma"/>
            <family val="2"/>
          </rPr>
          <t>RAMON ANTONIO LEMA HUTADO:</t>
        </r>
        <r>
          <rPr>
            <sz val="9"/>
            <color indexed="81"/>
            <rFont val="Tahoma"/>
            <family val="2"/>
          </rPr>
          <t xml:space="preserve">
este 25 es el 100% de cada trimestre.</t>
        </r>
      </text>
    </comment>
    <comment ref="P34" authorId="1" shapeId="0" xr:uid="{D6BEB29D-9A85-43A8-809A-25BEB2C5FBAA}">
      <text>
        <r>
          <rPr>
            <b/>
            <sz val="9"/>
            <color indexed="81"/>
            <rFont val="Tahoma"/>
            <family val="2"/>
          </rPr>
          <t>RAMON ANTONIO LEMA HUTADO:</t>
        </r>
        <r>
          <rPr>
            <sz val="9"/>
            <color indexed="81"/>
            <rFont val="Tahoma"/>
            <family val="2"/>
          </rPr>
          <t xml:space="preserve">
este 25 es el 100% de cada trimestre.</t>
        </r>
      </text>
    </comment>
    <comment ref="P44" authorId="1" shapeId="0" xr:uid="{267D1FF8-457C-4F33-AD7B-EB446681357D}">
      <text>
        <r>
          <rPr>
            <b/>
            <sz val="9"/>
            <color indexed="81"/>
            <rFont val="Tahoma"/>
            <family val="2"/>
          </rPr>
          <t>RAMON ANTONIO LEMA HUTADO:</t>
        </r>
        <r>
          <rPr>
            <sz val="9"/>
            <color indexed="81"/>
            <rFont val="Tahoma"/>
            <family val="2"/>
          </rPr>
          <t xml:space="preserve">
este 25 es el 100% de los informes establecidos para el trimestre</t>
        </r>
      </text>
    </comment>
    <comment ref="P45" authorId="1" shapeId="0" xr:uid="{86152421-13FD-4545-9F29-EECF57C3A656}">
      <text>
        <r>
          <rPr>
            <b/>
            <sz val="9"/>
            <color indexed="81"/>
            <rFont val="Tahoma"/>
            <family val="2"/>
          </rPr>
          <t>RAMON ANTONIO LEMA HUTADO:</t>
        </r>
        <r>
          <rPr>
            <sz val="9"/>
            <color indexed="81"/>
            <rFont val="Tahoma"/>
            <family val="2"/>
          </rPr>
          <t xml:space="preserve">
este 25 es el 100% de los informes establecidos para el trimestre</t>
        </r>
      </text>
    </comment>
    <comment ref="X46" authorId="2" shapeId="0" xr:uid="{AAED8238-6C52-4DD6-898C-4EE23040422C}">
      <text>
        <r>
          <rPr>
            <b/>
            <sz val="9"/>
            <color indexed="81"/>
            <rFont val="Tahoma"/>
            <family val="2"/>
          </rPr>
          <t>Mario Alberto Puerta Valderrama:</t>
        </r>
        <r>
          <rPr>
            <sz val="9"/>
            <color indexed="81"/>
            <rFont val="Tahoma"/>
            <family val="2"/>
          </rPr>
          <t xml:space="preserve">
FLANKLIN, 
JUAN DAVID LONDOÑO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s>
  <commentList>
    <comment ref="V12" authorId="0" shapeId="0" xr:uid="{04882050-BF8D-4220-AEE1-710613EFDA95}">
      <text>
        <r>
          <rPr>
            <b/>
            <sz val="14"/>
            <color indexed="81"/>
            <rFont val="Tahoma"/>
            <family val="2"/>
          </rPr>
          <t>Mario Alberto Puerta Valderrama:1020200-1</t>
        </r>
        <r>
          <rPr>
            <b/>
            <sz val="9"/>
            <color indexed="81"/>
            <rFont val="Tahoma"/>
            <family val="2"/>
          </rPr>
          <t xml:space="preserve">
</t>
        </r>
      </text>
    </comment>
    <comment ref="V32" authorId="0" shapeId="0" xr:uid="{02D52805-2E66-40E8-859E-FBAC120A451F}">
      <text>
        <r>
          <rPr>
            <b/>
            <sz val="14"/>
            <color indexed="81"/>
            <rFont val="Tahoma"/>
            <family val="2"/>
          </rPr>
          <t>Mario Alberto Puerta Valderrama:</t>
        </r>
        <r>
          <rPr>
            <sz val="14"/>
            <color indexed="81"/>
            <rFont val="Tahoma"/>
            <family val="2"/>
          </rPr>
          <t xml:space="preserve">
1020200-4
</t>
        </r>
      </text>
    </comment>
    <comment ref="G52" authorId="0" shapeId="0" xr:uid="{B3FCAE91-9368-4F2F-852D-CA0370452B29}">
      <text>
        <r>
          <rPr>
            <b/>
            <sz val="9"/>
            <color indexed="81"/>
            <rFont val="Tahoma"/>
            <family val="2"/>
          </rPr>
          <t>Mario Alberto Puerta Valderrama:
ENTERRITORIO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s>
  <commentList>
    <comment ref="S27" authorId="0" shapeId="0" xr:uid="{99B761DF-A8BB-4692-9CD2-768B5A146696}">
      <text>
        <r>
          <rPr>
            <b/>
            <sz val="9"/>
            <color indexed="81"/>
            <rFont val="Tahoma"/>
            <family val="2"/>
          </rPr>
          <t>Mario Alberto Puerta Valderrama:</t>
        </r>
        <r>
          <rPr>
            <sz val="9"/>
            <color indexed="81"/>
            <rFont val="Tahoma"/>
            <family val="2"/>
          </rPr>
          <t xml:space="preserve">
</t>
        </r>
        <r>
          <rPr>
            <sz val="16"/>
            <color indexed="81"/>
            <rFont val="Tahoma"/>
            <family val="2"/>
          </rPr>
          <t>DINAMICA</t>
        </r>
      </text>
    </comment>
    <comment ref="S29" authorId="0" shapeId="0" xr:uid="{F6B991B0-A412-4275-B328-6542F385EE83}">
      <text>
        <r>
          <rPr>
            <b/>
            <sz val="9"/>
            <color indexed="81"/>
            <rFont val="Tahoma"/>
            <family val="2"/>
          </rPr>
          <t>Mario Alberto Puerta Valderrama:</t>
        </r>
        <r>
          <rPr>
            <sz val="9"/>
            <color indexed="81"/>
            <rFont val="Tahoma"/>
            <family val="2"/>
          </rPr>
          <t xml:space="preserve">
</t>
        </r>
        <r>
          <rPr>
            <sz val="16"/>
            <color indexed="81"/>
            <rFont val="Tahoma"/>
            <family val="2"/>
          </rPr>
          <t>ADVISING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578556-7880-4DF4-B561-79052D8DBF6A}" sourceFile="C:\Users\PLANEACION\Desktop\PLANEACION\PLANEACIÓN 2021\POAI 2021\SEGUIMIENTO POAI 2021\SEGUIMIENTO POAI ESE HOSPITAL LA MARÍA 2021juan-  (1).xlsx" keepAlive="1" name="SEGUIMIENTO POAI ESE HOSPITAL LA MARÍA 2021juan-  (1)" type="5" refreshedVersion="7" background="1">
    <dbPr connection="Provider=Microsoft.ACE.OLEDB.12.0;User ID=Admin;Data Source=C:\Users\PLANEACION\Desktop\PLANEACION\PLANEACIÓN 2021\POAI 2021\SEGUIMIENTO POAI 2021\SEGUIMIENTO POAI ESE HOSPITAL LA MARÍA 2021juan-  (1).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ESUMEN LINEAS-POAI$'" commandType="3"/>
  </connection>
</connections>
</file>

<file path=xl/sharedStrings.xml><?xml version="1.0" encoding="utf-8"?>
<sst xmlns="http://schemas.openxmlformats.org/spreadsheetml/2006/main" count="5513" uniqueCount="1288">
  <si>
    <t xml:space="preserve">                                                PLAN OPERATIVO ANUAL DE INVERSIONES 2024- "TRABAJAMOS CON  AMOR POR LA VIDA"</t>
  </si>
  <si>
    <t>CRITERIOS DE EVALUACIÓN DE CUMPLIMIENTO EJECUCIÓN FÍSICA  Y FINANCIERA DEL POAI</t>
  </si>
  <si>
    <t>ESE HOSPITAL LA MARIA</t>
  </si>
  <si>
    <t>&lt; 25%</t>
  </si>
  <si>
    <t>26%- 5O%</t>
  </si>
  <si>
    <t>51% - 75%</t>
  </si>
  <si>
    <t>76% - 100%</t>
  </si>
  <si>
    <t>&gt;</t>
  </si>
  <si>
    <t>Línea 1: Dirección estratégica para una gestión con responsabilidad</t>
  </si>
  <si>
    <t>OBEJTIVO  DE LA LINEA:Definir e implementar acciones que permitan el direccionamiento institucional de la E.S.E hacia la renovación de la infraestructura y la tecnología, el rediseño de la estructura organizacional, la cultura en sistemas de gestión de la calidad y el fortalecimiento contractual, en cumplimiento de nuestro objeto social,entrado en la seguridad del paciente y la satisfacción del usuario y su familia.</t>
  </si>
  <si>
    <t>INDICADOR DE RESULTADO</t>
  </si>
  <si>
    <t>INDICADOR DE PRODUCTO</t>
  </si>
  <si>
    <t xml:space="preserve">Codigo </t>
  </si>
  <si>
    <t>Proyecto</t>
  </si>
  <si>
    <t xml:space="preserve">Descripción de la Actividad </t>
  </si>
  <si>
    <t>Unidad de Medida</t>
  </si>
  <si>
    <t xml:space="preserve"> Cantidad Programada Año 2024</t>
  </si>
  <si>
    <t>Trimestre 1</t>
  </si>
  <si>
    <t>Trimestre 2</t>
  </si>
  <si>
    <t>Trimestre 3</t>
  </si>
  <si>
    <t>Trimestre 4</t>
  </si>
  <si>
    <t>RECURSOS</t>
  </si>
  <si>
    <t>SEGUIMIENTO PLAN OPERATIVO ANUAL</t>
  </si>
  <si>
    <t>Área Responsable</t>
  </si>
  <si>
    <t>Responsable</t>
  </si>
  <si>
    <t>Criticó</t>
  </si>
  <si>
    <t>Alerta</t>
  </si>
  <si>
    <t>Atención</t>
  </si>
  <si>
    <t>Normal</t>
  </si>
  <si>
    <t>Superior</t>
  </si>
  <si>
    <t>Linea  Estratégica</t>
  </si>
  <si>
    <t>Objetivo linea estratégica</t>
  </si>
  <si>
    <t>Componente</t>
  </si>
  <si>
    <t>Objetivo</t>
  </si>
  <si>
    <t>Nombre del Indicador</t>
  </si>
  <si>
    <t>Unidad de medida</t>
  </si>
  <si>
    <t>Línea de Base</t>
  </si>
  <si>
    <t>Meta de la Vigencia 2024</t>
  </si>
  <si>
    <t>Programa</t>
  </si>
  <si>
    <t>Nombre del Indicador Producto</t>
  </si>
  <si>
    <t>Meta de la Vigencia 2023</t>
  </si>
  <si>
    <t>Rubro Presupuestal</t>
  </si>
  <si>
    <t>Fuente</t>
  </si>
  <si>
    <t>Recursos Asignados</t>
  </si>
  <si>
    <t>Total</t>
  </si>
  <si>
    <t>1 TRIMESTRE</t>
  </si>
  <si>
    <t>2TRIMESTRE</t>
  </si>
  <si>
    <t>3TRIMESTRE</t>
  </si>
  <si>
    <t>4 TRIMESTRE</t>
  </si>
  <si>
    <t>RECURSOS EJECUTADOS 1 TRIMESTRE</t>
  </si>
  <si>
    <t>RECURSOS EJECUTADOS 2 TRIMESTRE</t>
  </si>
  <si>
    <t>RECURSOS EJECUTADOS 3 TRIMESTRE</t>
  </si>
  <si>
    <t>RECURSOS EJECUTADOS 4 TRIMESTRE</t>
  </si>
  <si>
    <t>TOTAL RECURSOS EJECUTADOS AÑO</t>
  </si>
  <si>
    <t>% RECURSOS EJECUTADOS AÑO</t>
  </si>
  <si>
    <t>OBSERVACIÓN 1 TRIMESTRE</t>
  </si>
  <si>
    <t>OBSERVACIÓN 2TRIMESTRE</t>
  </si>
  <si>
    <t>OBSERVACIÓN 3 TRIMESTRE</t>
  </si>
  <si>
    <t>OBSERVACIÓN 4 TRIMESTRE</t>
  </si>
  <si>
    <t>RELACIÓN DE CONTRATOS O COMPRAS QUE APORTAN A LA EJECUCIÓN DE LAS ACTIVIDADES
1 TRIMESTRE</t>
  </si>
  <si>
    <t>RELACIÓN DE CONTRATOS O COMPRAS QUE APORTAN A LA EJECUCIÓN DE LAS ACTIVIDADES
2 TRIMESTRE</t>
  </si>
  <si>
    <t>RELACIÓN DE CONTRATOS O COMPRAS QUE APORTAN A LA EJECUCIÓN DE LAS ACTIVIDADES
3 TRIMESTRE</t>
  </si>
  <si>
    <t>RELACIÓN DE CONTRATOS O COMPRAS QUE APORTAN A LA EJECUCIÓN DE LAS ACTIVIDADES
4 TRIMESTRE</t>
  </si>
  <si>
    <t>OBSERVACIONES</t>
  </si>
  <si>
    <t>Definir e implementar acciones que permitan el direccionamiento institucional de la
E.S.E hacia la renovación de la infraestructura y la tecnología, el rediseño de la estructura
organizacional, la cultura en sistemas de gestión de la calidad y el fortalecimiento contractual, en
cumplimiento de nuestro objeto social, centrado en la seguridad del paciente y la satisfacción del
usuario y su familia.</t>
  </si>
  <si>
    <t>Componente 1:Institución solida</t>
  </si>
  <si>
    <t>Rediseñar el modelo de la gestión organizacional de la Institución de acuerdo a las necesidades y requerimientos cambiantes del entorno</t>
  </si>
  <si>
    <t>Modernización de la estructura organizacional aprobada</t>
  </si>
  <si>
    <t>Porcentajes</t>
  </si>
  <si>
    <t>N/D</t>
  </si>
  <si>
    <t>Modernización Institucional</t>
  </si>
  <si>
    <t>Manual de funciones adoptado</t>
  </si>
  <si>
    <t>Numero</t>
  </si>
  <si>
    <t>Rediseño Organizacional</t>
  </si>
  <si>
    <t xml:space="preserve">Actualizar y adoptar el  manual de funciones acorde a la estructura funcional </t>
  </si>
  <si>
    <t xml:space="preserve">2.1.1.01.01.001 2.1.2.02.02.008.802 2.1.2.02.02.008.803 </t>
  </si>
  <si>
    <t>PROPIOS</t>
  </si>
  <si>
    <t>GERENCIA</t>
  </si>
  <si>
    <t>YAN ZULUAGA + RICARDO CASTRILLON + SALARIO DEL GERENTE-REVISOR FISCAL</t>
  </si>
  <si>
    <t>Estructura organizacional adoptado</t>
  </si>
  <si>
    <t xml:space="preserve">Presentar el rediseños intitucional  de la estrutura y  presentarlo para  aprobación en la junta directiva </t>
  </si>
  <si>
    <t>Personal en misión ajustados a los perfiles y competencias definidos</t>
  </si>
  <si>
    <t>Socializar el  estudio de rediseño de la estructura cuando sea aprobado por junta</t>
  </si>
  <si>
    <t>Unidades funcionales con
estudios multifactoriales de
mercado</t>
  </si>
  <si>
    <t>Análisis de mercado para unidades de negocio</t>
  </si>
  <si>
    <t>Realizar actualización de  los analisis de unidades de mercado de negocio de la ESE , que se hicieron.</t>
  </si>
  <si>
    <t>numero</t>
  </si>
  <si>
    <t xml:space="preserve">omponente 2 Comprometidos con el mejoramiento continuo </t>
  </si>
  <si>
    <t>Desarrollar actividades tendientes al mantenimiento y mejora del Sistema Obligatorio de Garantía de la Calidad.</t>
  </si>
  <si>
    <t>Promedio de la calificación de la Autoevaluación del Programa de Auditoria para el Mejoramiento de la Calidad</t>
  </si>
  <si>
    <t xml:space="preserve">Razon </t>
  </si>
  <si>
    <t xml:space="preserve">Sistema de Gestión de la Calidad </t>
  </si>
  <si>
    <t>Procesos Implementados</t>
  </si>
  <si>
    <t>Porcentaje</t>
  </si>
  <si>
    <t xml:space="preserve">Auditoria interna a los procso misionales para verificar el cumplimiento a los requisitos normativos </t>
  </si>
  <si>
    <t>2.1.2.02.02.008.803</t>
  </si>
  <si>
    <t>CALIDAD</t>
  </si>
  <si>
    <t>Documentación de procesos bajo Sistema de Gestión de la calidad y gestión de riesgo</t>
  </si>
  <si>
    <t>porcentaje</t>
  </si>
  <si>
    <t>Informe de  la verificación del cumplimiento de los requisitos normativos a traves de auditoria interna</t>
  </si>
  <si>
    <t>Acciones de mejora ejecutadas derivada de las auditorías realizadas</t>
  </si>
  <si>
    <t xml:space="preserve">Seguimiento al cumplimiento del plan de mejora de las acciones definidas en los hallazgos d ela auditoria interna </t>
  </si>
  <si>
    <t>Componente 3: Seguimiento estratégico para la toma de decisiones</t>
  </si>
  <si>
    <t>lograr el cumplimiento de las metas trazadas en el Plan de Desarrollo Institucional</t>
  </si>
  <si>
    <t>Cumplimiento del Plan de Desarrollo Ins􀆟tucional</t>
  </si>
  <si>
    <t>Ejecución estratégica</t>
  </si>
  <si>
    <t>Actividades de socialización del Plan
de Desarrollo</t>
  </si>
  <si>
    <t>Despliegue estratégico del Plan de Desarrollo a los funcionarios de la E.S.E.</t>
  </si>
  <si>
    <t>Continuar la socialización del Plan de Desarrollo y del POAI  a las diferentes áreas y profesionales de la Institución.</t>
  </si>
  <si>
    <t>PLANEACIÓN</t>
  </si>
  <si>
    <t>YESID FRANK QUIROZ VARELA-  CLAUDIA AVENDAÑO</t>
  </si>
  <si>
    <t>Hacer publicaciones en la pagina y la intranet del hospital el PDI -POAI</t>
  </si>
  <si>
    <t>Seguimiento a las metas de Plan de
Desarrollo</t>
  </si>
  <si>
    <t>Seguimientos, análisis y evaluación del Plan de desarrollo</t>
  </si>
  <si>
    <t>continuar con el seguimiento  trimestral de la metas propuestas en el plan y el POAI</t>
  </si>
  <si>
    <t>Presentar en el comité directivo los avances de la ejecución de las metas propuesta en el plan y el POAI</t>
  </si>
  <si>
    <t>Línea 2: Gestión financiera y administrativa para el desarrollo sostenible</t>
  </si>
  <si>
    <t>Gestionar el equilibrio y la sostenibilidad financiera, mediante el análisis permanente del comportamiento administrativo, contable y financiero, que provea la información necesaria para la toma de decisiones.</t>
  </si>
  <si>
    <t>Componente 1:Equilibrio y sostenibilidad con rentabilidad social y financiera</t>
  </si>
  <si>
    <t>Garantizar la financiera y rentabilidad social de la E.S.E, mediante la optimización de los recursos humanos, físicos, tecnológicos y financieros, y la evaluación permanente del riesgo fiscal y financiero, que faciliten el buen funcionamiento de los procesos organizacionales</t>
  </si>
  <si>
    <t>Aumento del margen EBITDA</t>
  </si>
  <si>
    <t>Ciclo financiero eficiente y responsable</t>
  </si>
  <si>
    <t>Radicación oportuna de facturas</t>
  </si>
  <si>
    <t>Facturación como inicio de la sostenibilidad</t>
  </si>
  <si>
    <t>Recepción diaria de todas la facturas realizadas el día anterior</t>
  </si>
  <si>
    <t xml:space="preserve">2.1.2.02.02.008.803  2.1.2.02.02.009.901 2.1.1.01.01.001 </t>
  </si>
  <si>
    <t>FINANCIERA</t>
  </si>
  <si>
    <t>ANDREA, COSTOS, CONTABILIDAD, GLOSAS, FACTURACIÓN</t>
  </si>
  <si>
    <t xml:space="preserve">Realizar preauditoria a las facturas del servicio de hospitalización antes de su radicación </t>
  </si>
  <si>
    <t>Distribución de facturas para su respectiva radicación según la EAPB asignada a cada radiador</t>
  </si>
  <si>
    <t>Radicación de facturas a las diferentes EAPB</t>
  </si>
  <si>
    <t>Diligenciamiento y entrega de soportes de las facturas radicadas al área de cartera</t>
  </si>
  <si>
    <t>Riesgo fiscal y financiero</t>
  </si>
  <si>
    <t xml:space="preserve">Razón </t>
  </si>
  <si>
    <t>Rotación de cartera en número de días posterior al reconocimiento de
la deuda.</t>
  </si>
  <si>
    <t>Días</t>
  </si>
  <si>
    <t>Cartera como soporte financiero</t>
  </si>
  <si>
    <t>Agendar citas para depuración y conciliación de cartera con las EAPB</t>
  </si>
  <si>
    <t>Asistencia a las mesas de la circular 030 citadas por la Superintendencia Nacional de Salud</t>
  </si>
  <si>
    <t>Identificación de pagos</t>
  </si>
  <si>
    <t xml:space="preserve">Aplicación de pagos </t>
  </si>
  <si>
    <t>Preparación, organización y diligenciamiento de la cartera (Circular 030)  en la plataforma SISPRO</t>
  </si>
  <si>
    <t>Número</t>
  </si>
  <si>
    <t>Informe general de cartera</t>
  </si>
  <si>
    <t>Preparación, organización y diligenciamiento de la cartera en la plataforma SIHO</t>
  </si>
  <si>
    <t>Preparación, organización y diligenciamiento de la cartera (circular 014)  en la plataforma SISPRO</t>
  </si>
  <si>
    <t xml:space="preserve">Visitar en los diferentes servicios de la institución a los pacientes y/o familiares con el fin de informar el porcentaje que deben de cancelar por los servicios prestados dependiendo de su tipo de afiliación </t>
  </si>
  <si>
    <t>Realizar reporte de los pacientes con incumplimiento de acuerdo de pago a las centrales de riesgo</t>
  </si>
  <si>
    <t>Evolución del gasto por unidad
de valor relati_x001F_vo producida</t>
  </si>
  <si>
    <t>Respuesta oportuna de glosa
inicial de servicios</t>
  </si>
  <si>
    <t>Glosas y devoluciones para la eficiencia</t>
  </si>
  <si>
    <t xml:space="preserve">Registro diario de la recepción de las glosas </t>
  </si>
  <si>
    <t xml:space="preserve">Radicación de las respuestas de glosas </t>
  </si>
  <si>
    <t xml:space="preserve">Deuda menor a 30 días por
concepto de salarios a
personal </t>
  </si>
  <si>
    <t>Variación de la facturación semestral</t>
  </si>
  <si>
    <t>Realizar seguimiento a los egresos pendientes de facturar</t>
  </si>
  <si>
    <t>Revisar prefacturas de los pacientes con probabilidad de alta</t>
  </si>
  <si>
    <t>Definir los ajustes a las prefacturas de servicios prestados que no son dispensados por farmacia y/o no soportados por el personal asistencial</t>
  </si>
  <si>
    <t>Facturación de egresos dentro las 72 horas de la salida del paciente</t>
  </si>
  <si>
    <t>Equilibrio  presupuestal con
recaudo</t>
  </si>
  <si>
    <t>Recaudo por venta de servicios.</t>
  </si>
  <si>
    <t>Asistir a las citas de conciliación programadas</t>
  </si>
  <si>
    <t>Glosas definitivas</t>
  </si>
  <si>
    <t xml:space="preserve">Gestión de soportes para responder las causales de la glosa </t>
  </si>
  <si>
    <t xml:space="preserve">Realizar negociaciones y conciliaciones efectivas </t>
  </si>
  <si>
    <t>Gestión de glosas definitivas</t>
  </si>
  <si>
    <t>Costeo en los procesos para la toma de decisiones</t>
  </si>
  <si>
    <t>Modelo de costos empresarial TDABC</t>
  </si>
  <si>
    <t>Gestión de cuentas y proveedores</t>
  </si>
  <si>
    <t xml:space="preserve">Recepción de soportes de las facturas causadas en el mes </t>
  </si>
  <si>
    <t>Distribución y agrupación por centros de costo de todos los costos y gastos de la institución</t>
  </si>
  <si>
    <t>Actualización del recurso humano por centros de costo</t>
  </si>
  <si>
    <t xml:space="preserve">Actualización de inductores de distribución </t>
  </si>
  <si>
    <t>Monitoreo y análisis de los centros de costo</t>
  </si>
  <si>
    <t>Informe de costos</t>
  </si>
  <si>
    <t>Costear productos ofertados en la
institución</t>
  </si>
  <si>
    <t>Identificación de la mano de obra, suministros y otros costos y gastos utilizados en el procedimiento a costear</t>
  </si>
  <si>
    <t>Contratación basada en análisis de costos</t>
  </si>
  <si>
    <t xml:space="preserve">Asignación del costo a cada recurso e insumo utilizado durante el procedimiento a costear </t>
  </si>
  <si>
    <t>Gestión para el equilibrio presupuestal y pagos.</t>
  </si>
  <si>
    <t>Equilibrio presupuestal con
reconocimiento</t>
  </si>
  <si>
    <t>Razón</t>
  </si>
  <si>
    <t>Responsabilidad empresarial presupuestal</t>
  </si>
  <si>
    <t xml:space="preserve">Realizar análisis de facturación Vs gastos de manera mensual </t>
  </si>
  <si>
    <t>equilibrio presupuestal con
reconocimiento (Sin CXC y CXP)</t>
  </si>
  <si>
    <t>Auditoria de pagos para transparencia.</t>
  </si>
  <si>
    <t>Realizar un seguimiento  periódico de los ingresos  VS  los gastos</t>
  </si>
  <si>
    <t>Ejecución presupuestal</t>
  </si>
  <si>
    <t>Control efectivo en el manejo de los recursos</t>
  </si>
  <si>
    <t>Analizar el comportamiento presupuestal y presentación de informe</t>
  </si>
  <si>
    <t>Información contable, confiable y segura para la toma de decisiones</t>
  </si>
  <si>
    <t xml:space="preserve">Elaborar conciliaciones de la información entre las áreas  de contabilidad, tesorería y presupuesto. </t>
  </si>
  <si>
    <t>Componente 2:ADMINISTRACIÓN CON CALIDAD, TRANSPARENCIA Y EFICIENCIA PARA TODOS</t>
  </si>
  <si>
    <t>Fortalecer la gestión administrativa desde los niveles directivo técnico y operativo, en los procesos de defensa jurídica, contratación, apoyo a la gestión, compras y suministros, activos fijos, con eficiencia, eficacia y transparencia, garantizando resultados óptimos y como unidad funcional transversal hacia el resto de áreas de la organización.</t>
  </si>
  <si>
    <t>Ejecución presupuestal en mantenimiento hospitalario</t>
  </si>
  <si>
    <r>
      <rPr>
        <u/>
        <sz val="11"/>
        <color theme="1"/>
        <rFont val="Arial"/>
        <family val="2"/>
      </rPr>
      <t>&gt;</t>
    </r>
    <r>
      <rPr>
        <sz val="11"/>
        <color theme="1"/>
        <rFont val="Arial"/>
        <family val="2"/>
      </rPr>
      <t>5</t>
    </r>
  </si>
  <si>
    <t>Fortalecimiento administrativo de la E.S.E.</t>
  </si>
  <si>
    <t>Actualización del manual de
contratación</t>
  </si>
  <si>
    <t>Socilizar el manual de contratación aprobado en junta directiva</t>
  </si>
  <si>
    <t>2.1.2.02.02.006.604.64119 2.1.2.02.02.006.608.68030 2.1.2.02.02.008.802.82199 2.1.2.02.01.003.003.33370 2.1.2.02.02.006.608.68021 2.1.2.02.02.008.805.85330 2.1.2.02.02.008.805.85250 2.1.2.02.01.003.010 2.1.2.02.02.005.504.54790 2.1.2.02.02.008.807.87154 2.1.2.02.02.008.807.87156 2.1.2.02.02.009.907.97130 2.1.2.02.02.008.807.87157 2.1.2.02.02.008.807.87159 2.1.2.02.01.003.002.32193 2.1.2.02.01.003.006.3641 2.1.2.02.02.008.807.87152 2.1.1.01.01.001  2.1.2.02.02.009.901</t>
  </si>
  <si>
    <t>Contratación y ordenes de
compras, evaluadas por
comité de contratación.</t>
  </si>
  <si>
    <t>Asegurar la validación de las ordes de compra en el comité de compras y/o comité de contratación</t>
  </si>
  <si>
    <t>Ejecución de los planes de mantenimiento para un buen funcionamiento de la E.S.E
Hospital La María.</t>
  </si>
  <si>
    <t>Verificar que las ordenes de  compra cumplan con los requisitos estabalecidos por la ESE.</t>
  </si>
  <si>
    <t>SUBGERENCIA</t>
  </si>
  <si>
    <t>Asegurar la funcionalidad de la contratación de los servicios de interdependecia (alimentación, lavanderia, vigilancia, servicios  generales) y otros servicios de apoyo ( mensajeria, combustible y recolección de residuos, personal administrativo contratado a través de las asociaciones sindicales)</t>
  </si>
  <si>
    <t>Asegurar el pago oportuno de los servicios publicos para la continuidad en la prestación de los servicios</t>
  </si>
  <si>
    <t>Cumplimiento de los planes de
mejoramiento.</t>
  </si>
  <si>
    <t>Desarrollar la actividades contenidas en los planes de mejoramiento relacionados con la infraestrutura la dotación intrahospitalaria, los servicios de interdependencia y de apoyo</t>
  </si>
  <si>
    <t>Plan del mantenimiento hospitalario integral aprobado</t>
  </si>
  <si>
    <t>Radicar el plan de matenimiento hospitalario en la SSSA</t>
  </si>
  <si>
    <t>Asegurar el cumplimiento de las actividades programadas en el plan de matenimietno( ver cronograma)</t>
  </si>
  <si>
    <t xml:space="preserve">Proporción de medicamentos y
material médico quirúrgico
adquiridos mediante compras
conjuntas, coopera_x001F_vas de
empresas sociales del
estado y/o de mecanismos
electrónicos </t>
  </si>
  <si>
    <t>Fortalecimiento de la Farmacia para una atención digna y con calidad para nuestros usuarios</t>
  </si>
  <si>
    <t>Mantener las compra de
medicamentos y material médico
quirúrgico a través de plataformas</t>
  </si>
  <si>
    <t>Compra de insumos médicos y material médico quirúrgico por plataformas electrónicas y
otros medios.</t>
  </si>
  <si>
    <t>Actualizar el listado basico</t>
  </si>
  <si>
    <t>Realizar control de maximos y minimos que permita un reposición oportuna de cantidades de acuerdo a la necesidades de la institución.</t>
  </si>
  <si>
    <t>Se cuenta con carpeta de maximos y minimos actualizados mensualemnte en la ruta equipo FARMACIA17/Servicio Farmaceutico/1. Selección/ Maximos y Minimos</t>
  </si>
  <si>
    <t>Con la auditoria a la base de datos de maximos y minimos, se deja evidencia en el comité de farmacia y terapeutica y en el inventario de cierre del año 2023, de los analisis realizados a el inventario fisico con respecto a la rotaciond e cada producto en el tiempo y la posibilidad de movimiento de inventario muerto para evitar detrimento.</t>
  </si>
  <si>
    <t>Adjudicar oportunamente en plataforma para garantizar cumplimiento de tiempos establecidos por los proveedores.</t>
  </si>
  <si>
    <t>Se adjudica por parte de la Gerencia y apoyo tecnico desde la Direccion del Servicio Farmaceutico, en bien se cierran los pedidos cotizados. Soporte plataforma OKA</t>
  </si>
  <si>
    <t>La adjucacion en la plataforma OKA, nos permite evidenciar un aumento en el kardex de proveedores como alternativas de compras con cumplimiento de criterios de selección establecidos en el procedimiento de adquisiciones de la institucion. Adicionalmente, en el mes de enero se realiza el reporte del indicador anual de compras a traves de plataformas como muestra de compras transparentes.</t>
  </si>
  <si>
    <t>Certificación en buenas practicas de manufactura(BPM), para la producción de aire medicinales.</t>
  </si>
  <si>
    <t>SE DA CUMPLIMIENTO AL TOTAL DE CAPACITACIONES POR PARTE DEL TERCERO PARA CONTINUAR CON LA  VALIDACION Y CERTIFICACION DEL PROCESO EN EL AÑO 2024</t>
  </si>
  <si>
    <t>Dado que se realiza continuidad al contrato establecido con el tercero para el suministo de gases medicinales en la institucion, por ser un proveedor exclusivo en la produccion de los diferentes tipos de gases; se logra recibir propuesta 2024 con la continuidad a la asesoria para la certificacion en gases medicinales BPM</t>
  </si>
  <si>
    <t>Realizar auditorias ambientales</t>
  </si>
  <si>
    <t xml:space="preserve">FALTA MAS DE FARMACIA </t>
  </si>
  <si>
    <t>Cumplimiento del plan anual de
adquisiciones.</t>
  </si>
  <si>
    <t>Fortalecimiento del cumplimiento de los reportes a los diferentes entes de control</t>
  </si>
  <si>
    <t>Oportunidad en el reporte de los
informes obligatorios a la
Supersalud</t>
  </si>
  <si>
    <t>Información oportuna y veraz para los reportes de los entes de control.</t>
  </si>
  <si>
    <t>Reporte oportuno de los informes a la supersalud ( archivo plano con la evidencia del cargue)</t>
  </si>
  <si>
    <t>Oportunidad en el reporte de los
informes obligatorios en la Resolución 2193  de 2004</t>
  </si>
  <si>
    <t xml:space="preserve">Reporte oportuno de los informes al Ministerio de Salud resolución 2193 de 2004 ( archivo plano con la evidencia del cargue)
</t>
  </si>
  <si>
    <t>Proyectos estratégicos de la E.S.E.</t>
  </si>
  <si>
    <t>Seguimiento a la ejecución de los
recursos de los proyectos
aprobados.</t>
  </si>
  <si>
    <t>Seguimiento a la ejecución de proyectos aprobados.</t>
  </si>
  <si>
    <t>Realizar informes  de seguimiento  ejecución  de los proyectos en cursos.</t>
  </si>
  <si>
    <t xml:space="preserve"> Hospital Líder en la atención de las patologías con mayor impacto en la salud pública,
comprometidos con la excelencia en la atención</t>
  </si>
  <si>
    <t>Orientar la prestación de servicios de salud para el manejo de las patologías de gran impacto
en el departamento de Antioquía a través del fortalecimiento y la creación de nuevos servicios;
aumentando la eficiencia, eficacia y satisfacción; gestionando las necesidades del usuario</t>
  </si>
  <si>
    <t>Servicio de hemofilia habilitando y
funcionando</t>
  </si>
  <si>
    <t>Realizar la autoveluación  de los requisitos SUH,.</t>
  </si>
  <si>
    <t>2.4.5.01.03 2.1.2.02.02.009.903 2.1.2.02.02.009.905 2.1.2.02.02.008.805 2.1.2.02.02.007.703 2.1.2.02.02.008.803 2.1.2.02.01.004.008 2.1.1.01.01.001</t>
  </si>
  <si>
    <t>COORDINADOR MEDICO</t>
  </si>
  <si>
    <t xml:space="preserve">Formular el plan de trabajo según el resultado de la autoevalución para iniciar el proceso de  para la habilitación del servicio de urgencias en alta complejidad </t>
  </si>
  <si>
    <t>Servicio de cirugía oncológica
habilitado y funcionando</t>
  </si>
  <si>
    <t xml:space="preserve">Formular el plan de trabajo según el resultado de la autoevalución para iniciar el proceso de  para la habilitación del servicio de internacion en alta complejidad </t>
  </si>
  <si>
    <t xml:space="preserve">Solicitud de visita previa  para la habilitación del servicio urgencia y hospitalizacion en alta complejidad </t>
  </si>
  <si>
    <t xml:space="preserve">Contar con infraestructura adecuada para prestacion del servicio  urgencia y hospitalizacion en alta complejidad </t>
  </si>
  <si>
    <t xml:space="preserve">Dotar  con  los equipos biomedicos  y moviliarios  adecuada para prestacion del servicio urgencia y hospitalizacion en alta complejidad </t>
  </si>
  <si>
    <t>Proporción de Adopción y
socialización de las principales Guías de manejo médico</t>
  </si>
  <si>
    <t>Fortalecimiento de los servicios existentes a través de la implementación de acciones
encaminadas al mejoramiento de la atención</t>
  </si>
  <si>
    <t>Poner en marcha los planes de mejoramiento para el impacto en la oportunidad en la
atención y en la seguridad del paciente</t>
  </si>
  <si>
    <t>Aplicar el instrumento para medir la adherencia Guía de "Práctica Clínica (GPC) basada en la evidencia científica para la atención de la infección por VIH/SIDA en personas adultas, gestantes y adolescentes"</t>
  </si>
  <si>
    <t>Tiempo promedio de espera para la
asignación de citas de medicina
interna</t>
  </si>
  <si>
    <t>Definir la ficha tecnica del indicador teniendo en cuenta la linea base del año 2023</t>
  </si>
  <si>
    <t>Realizar la medición mensual del Tiempo promedio de espera para la
asignación de citas de medicina
interna</t>
  </si>
  <si>
    <t>Tiempo promedio de espera para la
asignación de citas de cirugía</t>
  </si>
  <si>
    <t>Realizar la medición mensual del Tiempo promedio de espera para la
asignación de citas de cirugía</t>
  </si>
  <si>
    <t>Tiempo promedio de espera para la
asignación de citas de Urología</t>
  </si>
  <si>
    <t>Realizar la medición mensual Tiempo promedio de espera para la
asignación de citas de Urología</t>
  </si>
  <si>
    <t>Tiempo promedio de espera para la
asignación de citas de ortopedia</t>
  </si>
  <si>
    <t>Definir la ficha tecnica del indicador.</t>
  </si>
  <si>
    <t>Realizar la medición mensual del tiempo pormedio de espera para la
asignación de citas de ortopedia</t>
  </si>
  <si>
    <t>Tiempo promedio de espera para la
atención del paciente clasificado como Triage II</t>
  </si>
  <si>
    <t>Minutos</t>
  </si>
  <si>
    <t>Realizar la medición mensual del la oportunidad en la atención del paciente clasificado como Triage II</t>
  </si>
  <si>
    <t xml:space="preserve">Oportunidad en la entrega de resultados de laboratorio al Servicio de Urgencias </t>
  </si>
  <si>
    <t xml:space="preserve">Realizar la medición mensual del la oportunidad en la realización dentrega de resultados de laboratorio al Servicio de Urgencias </t>
  </si>
  <si>
    <t>Oportunidad en la entrega de
resultados a Hospitalización</t>
  </si>
  <si>
    <t>Realizar la medición de la oportunidad en la entrega de resultados a Hospitalización</t>
  </si>
  <si>
    <t>Oportunidad en la realización de
apendicetomía</t>
  </si>
  <si>
    <t>Realizar la medición mensual del la oportunidad en la realización de la apendicectomia.</t>
  </si>
  <si>
    <t>Oportunidad en la atención específica de pacientes con diagnostico al egreso de infarto Agudo de miocardio (IAM)</t>
  </si>
  <si>
    <t>Realizar la medición mensual del la oportunidad en la atenciión de pacientes con IAM</t>
  </si>
  <si>
    <t xml:space="preserve">Gestión y análisis de los eventos adversos, relacionados con la seguridad del paciente. </t>
  </si>
  <si>
    <t>Análisis de Mortalidad Intrahospitalaria</t>
  </si>
  <si>
    <t>Realizar la medición mensual de los Análisis de Mortalidad Intrahospitalaria</t>
  </si>
  <si>
    <t>Índice de infecciones intrahospitalarias</t>
  </si>
  <si>
    <t>Realizar la medición mensual del Índice de infecciones intrahospitalarias</t>
  </si>
  <si>
    <t xml:space="preserve">Cumplimiento de
proyectos especial
</t>
  </si>
  <si>
    <t>Desarrollo de convenios para la búsqueda activa comunitaria de pacientes con VIH en poblaciones
clave entre E.S.E Hospital La María y Enterritorio</t>
  </si>
  <si>
    <t>Pruebas rápidas de VIH realizadas a la población objeto</t>
  </si>
  <si>
    <t>Realizar convenios entre la E.S.E Hospital La María y Enterritorio para desarrollar actividades
en la población VIH en poblaciones clave</t>
  </si>
  <si>
    <t>Evaluar la rentabilidad  financiera mensual del programa para la atención de los pacientes de la EAPB Coosalud.</t>
  </si>
  <si>
    <t>2.3.2.02.02.009</t>
  </si>
  <si>
    <t>Evaluar la rentabilidad  financiera mensual de los proyectos especiales ( TBC, lepra, ETS, enterritorio….)</t>
  </si>
  <si>
    <t>Componente 2 :Integración y alianzas para el mejoramiento en la accesibilidad y en la oportunidad en los
servicios.
Diagnostico:</t>
  </si>
  <si>
    <t>Ser el centro de referencia para los servicios de alta complejidad del departamento de
Antioquía para los Hospitales de mediana y baja complejidad</t>
  </si>
  <si>
    <t>Aumento en el
numero de
pacientes referidos
por la red.</t>
  </si>
  <si>
    <t>Conformación de Redes - Acuerdos de voluntades</t>
  </si>
  <si>
    <t>Acuerdo de voluntades entre las ESE para la conformación de la red en el Departamento de Antioquia</t>
  </si>
  <si>
    <t>Formulación de acuerdos de voluntades con las ESE y EAPB en el Departamento.</t>
  </si>
  <si>
    <t>realizar acuerdos o uniones temporales para la conformacion de la redes departamentales</t>
  </si>
  <si>
    <t>Aumento en el accesibilidad a los
servicios de consulta externa
por la apertura de servicios en
modalidad telesalud</t>
  </si>
  <si>
    <t>Implementación telesalud</t>
  </si>
  <si>
    <t>Servicios de telesalud implementados y en funcionamiento en la ESE</t>
  </si>
  <si>
    <t xml:space="preserve">implementar el servicio de telesalud en la ESE Hospital La María.
</t>
  </si>
  <si>
    <t>Realizar seguimiento a  la prestación de servicios en modalidad de telemedicina</t>
  </si>
  <si>
    <t xml:space="preserve">numero </t>
  </si>
  <si>
    <t xml:space="preserve">Atención intercultural </t>
  </si>
  <si>
    <t>Realizar el análisis de mercado para el ingreso de la E.S.E al Sistema Indígena de Salud Propio Intercultural (SISPI)</t>
  </si>
  <si>
    <t>Análisis del mercado para la atención intercultural</t>
  </si>
  <si>
    <t>Realizar acercamientos con la aosiciación indigena con el fin de lograr que la E.S.E le preste servicios a esta población.</t>
  </si>
  <si>
    <t xml:space="preserve">Tiempos de respuesta en los
procesos de referencia. </t>
  </si>
  <si>
    <t xml:space="preserve">Días </t>
  </si>
  <si>
    <t>Disminuir los tiempos de respuesta en los procesos de referencia y mejorar la percepción de la oportunidad, convirtiéndonos en el faro que ilumine las demás E.S.E del departamento</t>
  </si>
  <si>
    <t>Proceso de auditoria concurrente.</t>
  </si>
  <si>
    <t>Auditoria concurrente por la calidad</t>
  </si>
  <si>
    <t>Verificar la existencia del documento del proceso</t>
  </si>
  <si>
    <t xml:space="preserve">Mejoramiento en la percepción de la respuesta a los procesos de remisión con las IPS de influencia </t>
  </si>
  <si>
    <t xml:space="preserve">Mejorar la oportunidad en los tiempos de respuesta en los procesos de referencia para la atención en la E.S.E  
</t>
  </si>
  <si>
    <t xml:space="preserve">Evaluar la oportunidad del servicio de referencia y contrareferencia en la aceptacion de pacientes y en la respuesta sobre la prestacion </t>
  </si>
  <si>
    <t xml:space="preserve">12.4.	Línea 4: Enfoque de servicios por la vida
</t>
  </si>
  <si>
    <t xml:space="preserve">Enfocar el proceso de atención de la E.S.E en el trato digno de las personas, con altos estándares de calidad y valor científico.
</t>
  </si>
  <si>
    <t xml:space="preserve"> Componente 1:  Modelo de atención integral centrado en el trato digno</t>
  </si>
  <si>
    <t>Realizar la atención integral basada en la satisfacción global y el trato digno en la ESE Hospital La María</t>
  </si>
  <si>
    <t xml:space="preserve">Modelo de atención aprobado </t>
  </si>
  <si>
    <t xml:space="preserve"> Formular e implementar el modelo de Atención en salud en la ESE Hospital la María.</t>
  </si>
  <si>
    <t xml:space="preserve"> Formulación del modelo de atención</t>
  </si>
  <si>
    <t>Elabora el modelo de prestación de servicios de la ESE Hospital La María</t>
  </si>
  <si>
    <t>Actualizar el documento del modelo de atención de la ESE Hospital La María</t>
  </si>
  <si>
    <t>SUBGERENCIA-PLANEACION-CALIDAD</t>
  </si>
  <si>
    <r>
      <t>Componente 2: Memoria institucional</t>
    </r>
    <r>
      <rPr>
        <b/>
        <sz val="12"/>
        <color rgb="FF000000"/>
        <rFont val="Arial"/>
        <family val="2"/>
      </rPr>
      <t>.</t>
    </r>
  </si>
  <si>
    <t>Velar por la protección del patrimonio documental de la entidad</t>
  </si>
  <si>
    <t>Digitalización de la información institucional</t>
  </si>
  <si>
    <t>Sistemas Gestión Documental</t>
  </si>
  <si>
    <t>Plan de digitalización de documentos Implementado</t>
  </si>
  <si>
    <t>Infraestructura para el archivo</t>
  </si>
  <si>
    <t>seguimiento  del inventario documental en los archivos de gestión</t>
  </si>
  <si>
    <t xml:space="preserve">2.1.2.02.02.006.608 </t>
  </si>
  <si>
    <t>Realizar cronograma de transferencias documentales.</t>
  </si>
  <si>
    <t>Realizar el inventario documental del archivo central</t>
  </si>
  <si>
    <t>CONSUELO  SUS FUNCIONARIOS DE APOYO</t>
  </si>
  <si>
    <t>Sistematización de Flujo de Trabajos</t>
  </si>
  <si>
    <t>Sistema de general de archivo</t>
  </si>
  <si>
    <t xml:space="preserve">Identificar el proveedor para Plataforma de Gestión Documental </t>
  </si>
  <si>
    <t>Manuales, Procesos y Procedimientos Archivísticos Implementados</t>
  </si>
  <si>
    <t>Capacitaciones al personal en: Reglamento Interno de Archivo- Archivos de Gestión- Ventanilla Única</t>
  </si>
  <si>
    <t xml:space="preserve">Numero </t>
  </si>
  <si>
    <t>Realizar el manual de correspondiente ( acuerdo 060 de 2001)</t>
  </si>
  <si>
    <t>Seguimiento del  programa de gestión documental</t>
  </si>
  <si>
    <t>Realizar el seguimiento al Plan institucional de archivos- PINAR</t>
  </si>
  <si>
    <t>Implementar la política de cero papel en la ESE</t>
  </si>
  <si>
    <r>
      <t xml:space="preserve">Componente 3: </t>
    </r>
    <r>
      <rPr>
        <sz val="12"/>
        <color theme="1"/>
        <rFont val="Arial"/>
        <family val="2"/>
      </rPr>
      <t>Tecnología biomédica segura para la vida</t>
    </r>
  </si>
  <si>
    <t>Satisfacer las necesidades de los servicios asistenciales mediante una oportuno y eficiente mantenimiento en equipos biomédicos con personal especializado que aporte a los protocolos de bioseguridad</t>
  </si>
  <si>
    <t>Índice de satisfacción del cliente interno frente a la dotación de equipos biomédicos</t>
  </si>
  <si>
    <t>Apoyar las áreas asistenciales a brindar los servicios de salud con seguridad y confianza</t>
  </si>
  <si>
    <t>Diagnóstico de necesidades de tecnología y de equipos biomédicos</t>
  </si>
  <si>
    <t>Adquisición de equipos biomédicos de última tecnología</t>
  </si>
  <si>
    <t>Actualización al diagnóstico de tecnología de equipos biomédicos partiendo de la matriz de evaluación tecnológica.</t>
  </si>
  <si>
    <t>número</t>
  </si>
  <si>
    <t>JULIANA GOMEZ Y SUS FUNCIONARIOS DE APOYO</t>
  </si>
  <si>
    <t>Adquisición de equipos biomédicos</t>
  </si>
  <si>
    <t xml:space="preserve">Realizar estudio de mercado de tecnología biomédica para la adquisición. </t>
  </si>
  <si>
    <t>Índice de eventos adversos atribuibles a tecnología medica</t>
  </si>
  <si>
    <t>Cumplimiento de cronograma de mantenimiento de equipos biomédicos</t>
  </si>
  <si>
    <t>Realizar el mantenimiento preventivo y correctivo de los equipos biomédicos e industriales</t>
  </si>
  <si>
    <t xml:space="preserve">Mantenimiento preventivo equipos Biomedicos </t>
  </si>
  <si>
    <t>Oportunidad de mantenimiento correctivo</t>
  </si>
  <si>
    <t>correctivos mensuales asociados al mal uso de la tecnologia biomedica</t>
  </si>
  <si>
    <t xml:space="preserve">Cumplimiento de cronograma de calibración de equipos biomédicos.  (miden, cuentan y pesan) </t>
  </si>
  <si>
    <t xml:space="preserve">Realizar la calibración de los equipos biomédicos.
</t>
  </si>
  <si>
    <t xml:space="preserve">Calibración de equipos Biomedicos </t>
  </si>
  <si>
    <t xml:space="preserve">Componente 4: Tecnología segura para el desarrollo de la ESE 
</t>
  </si>
  <si>
    <t>Proporcionar una sistema ágil, seguro y oportuno que satisfaga las necesidades del cliente interno y externo, cumpliendo con las buenas prácticas en el área de las TIC.</t>
  </si>
  <si>
    <t>Índice de satisfacción del cliente interno con relación a las plataformas y herramientas digitales</t>
  </si>
  <si>
    <t>Recursos tecnológicos para el apoyo en la gestión</t>
  </si>
  <si>
    <t>Implementación de la política de gobierno digital</t>
  </si>
  <si>
    <t>Recursos tecnológicos como líneas de apoyo para la prestación de servicio con calidad</t>
  </si>
  <si>
    <t>Índice dePreventivo (IEMP)</t>
  </si>
  <si>
    <t>2.1.2.02.02.008.809 2.1.2.02.02.008.803 2.1.2.02.01.003.010 2.1.2.02.02.008.807.87130</t>
  </si>
  <si>
    <t>SEBASTIAN Y SUS FUNCIONARIOS DE APOYO</t>
  </si>
  <si>
    <t>Herramientas digitales en funcionamiento (ofimática, licencias y office)</t>
  </si>
  <si>
    <t xml:space="preserve"> Cobertura de Licencias de Antivirus (ICLA)
</t>
  </si>
  <si>
    <t>Índice de satisfacción del cliente externo en relación a la experiencia digital corporativa</t>
  </si>
  <si>
    <t xml:space="preserve">DATACENTER con
Dotación Tecnológica </t>
  </si>
  <si>
    <t xml:space="preserve"> Resolución de Requerimientos</t>
  </si>
  <si>
    <t xml:space="preserve">	Línea 5: Compañía, amor y humanización al servicio de todos</t>
  </si>
  <si>
    <t>Generar una oportuna respuesta a las problemáticas, necesidades, oportunidades, limitaciones y debilidades, que afectan a la comunidad, con el propósito de dar cumplimiento al marco legal vigente en derechos humanos y participación social en salud</t>
  </si>
  <si>
    <t>Componente 1: Comunicación para el cambio y desarrollo social</t>
  </si>
  <si>
    <t>Brindar información de calidad y de manera oportuna a los usuarios, garantizando en el proceso un acceso digno y eficaz a la salud, sin importar su condición de vulnerabilidad</t>
  </si>
  <si>
    <t>Percepción del acceso a los servicios de salud que oferta la E.S.E.</t>
  </si>
  <si>
    <t>Realizar campañas Edu-Comunicativas con un enfoque diferencial, logrando incrementar la percepción y la inclusión social de nuestra institución</t>
  </si>
  <si>
    <t>Humanización y dignificación del servicio que se presta a los usuarios y pacientes</t>
  </si>
  <si>
    <t>Socialización de la carta del trato digno donde se encuentran los derechos y deberes de los usuarios, a los empleados de la E.S.E Hospital La María. (atención al usuario).</t>
  </si>
  <si>
    <t>2.1.2.02.02.008.803.83990 2.1.2.02.02.008.803.83611 2.1.2.02.02.008.803.83151 2.1.2.02.02.006.603.63391 2.1.1.01.01.001  2.1.2.02.02.009.901</t>
  </si>
  <si>
    <t>COMUNOCACIÓN</t>
  </si>
  <si>
    <t xml:space="preserve">Realizar piezas gráficas que sensibilicen al personal y comunidad  sobre el trato digno a la población vulnerable que serán difundidas por los diferentes medios de comunicación institucionales. </t>
  </si>
  <si>
    <t>Implementación de medios de comunicación que permitan la inclusión de la población vulnerable</t>
  </si>
  <si>
    <t xml:space="preserve">Creación de contenido audiovisual para redes sociales (facebook, instagram, Twitter) sobre información general de la institución.  </t>
  </si>
  <si>
    <t>Creación de un boletín interno, el cual tendrá noticias destacadas de lo que pasa en la institución. Este será difundido por los correos electrónicos y grupos de WhasApp.</t>
  </si>
  <si>
    <t>Desarrollo de un canal de comunicación interna que permita la interacción inmediata de los colaboradores de la E.S.E</t>
  </si>
  <si>
    <t>Realizar una parrilla de contenido que abarque temas de interés con enfoque diferencial.</t>
  </si>
  <si>
    <t xml:space="preserve">Índice de variación de la percepción positiva de la imagen y marca de la ESE Hospital La María </t>
  </si>
  <si>
    <t xml:space="preserve">Plan de marketing digital elaborado y aprobado </t>
  </si>
  <si>
    <t>Comunicación asertiva</t>
  </si>
  <si>
    <t>Realizar un informe del análisis de los canales  de distribución de los segmentos de clientes específicos</t>
  </si>
  <si>
    <t>Componente 2: Atención y cuidado al usuario</t>
  </si>
  <si>
    <t>Fortalecer las relaciones de confianza entre el usuario, ciudadanía y el Hospital La María.</t>
  </si>
  <si>
    <t>Satisfacción del Usuario Externo</t>
  </si>
  <si>
    <t>Intervención social en el acceso a la salud</t>
  </si>
  <si>
    <t>Ejecución del Plan de la Política de Participación</t>
  </si>
  <si>
    <t>Aseguramiento</t>
  </si>
  <si>
    <t xml:space="preserve">Brindar asesoría y orientación a los usuarios que tienen dificultades con el acceso a la salud. </t>
  </si>
  <si>
    <t>ATENCIÓN AL USUARIO</t>
  </si>
  <si>
    <t>LUCI Y SUS FUNCIONARIOS DE APOYO, Y CONTROL SOCIAL</t>
  </si>
  <si>
    <t>Certificación, notificación, ayudas humanitarias, programas interinstitucionales, redes de apoyos, restablecimiento del derecho</t>
  </si>
  <si>
    <t xml:space="preserve">Acompañamiento a los diferentes espacios de participación de la ESE Hospital La María (Asociación de Usuarios y Comité de ética) </t>
  </si>
  <si>
    <t xml:space="preserve">Socialización de la carta del trato digno donde se encuentran los derechos y deberes de los usuarios, a los usuarios de la E.S.E Hospital La María. </t>
  </si>
  <si>
    <t>Respuesta oportuna de las PQRSD de los usuarios</t>
  </si>
  <si>
    <t xml:space="preserve">Realizar capacitaciones sobre temáticas de acceso y derecho a la salud y trato digno con algunos representantes de la comunidad (Asociación de usuarios ESE Hospital y Comité de ética). </t>
  </si>
  <si>
    <t>Control social a la salud</t>
  </si>
  <si>
    <t xml:space="preserve">Gestión y respuesta de PQRSD </t>
  </si>
  <si>
    <t xml:space="preserve">PQRSD </t>
  </si>
  <si>
    <t>Generar una oportuna respuesta a las diferentes PQRSD que llegan a la oficina del SIAU.</t>
  </si>
  <si>
    <t>Socializar con la comunidad del debido procedimiento que tiene una PQRSD dentro de la institución. (rondas educativas, piezas gráficas).</t>
  </si>
  <si>
    <t>Guiar a la Asociación de Usuarios en sus diferentes reuniones respecto a temas de participación social en salud</t>
  </si>
  <si>
    <t>Realizar comités de ética en los cuales se encuentran algunos representantes de la comunidad.</t>
  </si>
  <si>
    <t xml:space="preserve">Encuestas de satisfacción de usuarios.
</t>
  </si>
  <si>
    <t xml:space="preserve"> Medir la percepción de los usuarios frente al servicio prestado en los servicios de consulta externa y hospitalización</t>
  </si>
  <si>
    <t xml:space="preserve">Línea 6: Innovación, ciencia e investigación para la vida
</t>
  </si>
  <si>
    <t>Establecer los problemas en salud pública y contribuir con respuestas y medidas de intervención pertinente y costo efectivas de prevención de la enfermedad, promoción de la salud y control; con énfasis en nuestra población vulnerable.</t>
  </si>
  <si>
    <t>Componente 1: Investigación con sentido de vida y responsabilidad social</t>
  </si>
  <si>
    <t>Generar conocimiento en salud colectiva e individual, promoviendo el aprendizaje auto regulado y la actualización permanente con énfasis en la conducta ética, el profesionalismo y el compromiso con la sociedad.</t>
  </si>
  <si>
    <t>Publicaciones realizadas en diferentes medios</t>
  </si>
  <si>
    <t>Investigación para ciencias médicas y salud</t>
  </si>
  <si>
    <t xml:space="preserve">Publicación de artículos en revistas indexadas </t>
  </si>
  <si>
    <t>Publicaciones medicas en revistas indexadas</t>
  </si>
  <si>
    <t xml:space="preserve">Realizar Publicación de artículos en revistas  indexadas </t>
  </si>
  <si>
    <t>2.1.1.01.01.001</t>
  </si>
  <si>
    <t>DR LARRY -LENO DARIO ARBOLEDA</t>
  </si>
  <si>
    <t>Certificado de conferencista o de participante</t>
  </si>
  <si>
    <t xml:space="preserve">Suscripción de Convenios de Cooperación para la investigación </t>
  </si>
  <si>
    <t>Participación en eventos cientificos( congresos, foros y similares)</t>
  </si>
  <si>
    <t>Componente 2:Investigación para la formación de competencias y desarrollo profesional en salud.</t>
  </si>
  <si>
    <t xml:space="preserve">Crear un modelo de hospital universitario que permita el fortalecimiento de los procesos institucionales, la adopción de altos estándares de calidad, el avance en la relación docencia servicio, los espacios disponibles y el aumento en la generación de conocimiento especializado, que aporte a los actores responsables de la toma de decisiones y generadores de políticas públicas.  </t>
  </si>
  <si>
    <t xml:space="preserve">Avances en el proceso de acreditación </t>
  </si>
  <si>
    <t xml:space="preserve">Desarrollo de la relación docencia servicio </t>
  </si>
  <si>
    <t>Aumentar el resultado de la autoevaluación en los estándares de acreditación</t>
  </si>
  <si>
    <t>Planear y ejecutar el proceso de acreditación en salud, con el objetivo de lograr la acreditación como hospital universitario</t>
  </si>
  <si>
    <t>Realizar la autoevaluación de los estándares de acreditación - PAMEC</t>
  </si>
  <si>
    <t xml:space="preserve">Ejecutar las oportunidades de mejora en cada ciclo </t>
  </si>
  <si>
    <t>Evidenciar la ejecución de las oportunidades de mejora priorizadas  en el ciclo.</t>
  </si>
  <si>
    <t>LÍNEA 7: MEDIO AMBIENTE SANO Y SEGURO, DEJANDO HUELLA PARA LA VIDA</t>
  </si>
  <si>
    <t>OBJETIVO GENERAL
Fortalecer la planeación y gestión de seguridad y salud en el trabajo, medio ambiente e infraestructura, a través,
del desarrollo de los componentes estratégicos, temáticos y medibles.</t>
  </si>
  <si>
    <t>COMPONENTE 1:
ALINEACIÓN
ECOLÓGICA CON
RESPONSABILIDAD
SOCIAL</t>
  </si>
  <si>
    <t>Definir el proceso de gestión ambiental y articularlo con las diferentes áreas de la institución, a través, de mecanismos y estrategias que permitan el desarrollo de los procesos medio ambientales y la normatividad legal vigente.</t>
  </si>
  <si>
    <t>Avances en la Implementación de acciones del Plan de Gestión Ambiental</t>
  </si>
  <si>
    <t>Formular el Plan de Gestión Ambiental</t>
  </si>
  <si>
    <t>Actualización del Plan de Gestión de
Residuos Generados en la atención
Salud y otras actividades PGIRASA</t>
  </si>
  <si>
    <t>Actualización del PGIRASA</t>
  </si>
  <si>
    <t xml:space="preserve">Realizar la actualización del PGIRASA, de acuerdo a las necesidades que se presenten en la E.S.E. y a la normatividad vigente </t>
  </si>
  <si>
    <t>ÁREA DE GESTIÓN AMBIENTAL</t>
  </si>
  <si>
    <t xml:space="preserve">Ejecutar el PGIRASA en la E.S.E. </t>
  </si>
  <si>
    <t>Aguas residuales</t>
  </si>
  <si>
    <t>Caracterización de vertimientos anual</t>
  </si>
  <si>
    <t>Realizar el contrato de tratamiento de los parámetros que no cumplen con la norma de las Aguas Residuales No Domesticas( ARnD) con EPM</t>
  </si>
  <si>
    <t xml:space="preserve">Plan de Mantenimiento ambiental y del componente arbóreo </t>
  </si>
  <si>
    <t>Uso eficiente de los recursos  naturales       ( Uso eficiente del uso del agua)</t>
  </si>
  <si>
    <t xml:space="preserve">Capacitaciones para la educación y concientización del consumo del agua </t>
  </si>
  <si>
    <t>Descansa pantallas sobre el uso adecuado del agua</t>
  </si>
  <si>
    <t>Realizar capacitaciones al personal de servicios generales y personal de la ruta hospitalaria dela E.S.E. sobre el adecuado manejo, transporte y almacenamiento de los residuos hospitalarios</t>
  </si>
  <si>
    <t>Realizar lavado y mantenimiento del tanque de almacenamiento de agua cada 6 meses</t>
  </si>
  <si>
    <t>Fijar las bases para la Conservación y Limpieza de Zonas Verdes del Hospital la maría, mediante un estándar de actividades programadas para su sostenimiento y cumplimiento.</t>
  </si>
  <si>
    <t>Uso eficiente de los recursos  naturales       ( Uso eficiente del uso de la energía)</t>
  </si>
  <si>
    <t xml:space="preserve">Capacitaciones para la educación y concientización del consumo de la energía y la luz natural </t>
  </si>
  <si>
    <t>Descansa pantallas sobre el uso adecuado de la energía</t>
  </si>
  <si>
    <t>12.8.	Línea 8: Gestión integral del talento humano que trabaja con amor por la vida</t>
  </si>
  <si>
    <t>Gestionar el talento humano de la institución para el funcionamiento, mantenimiento y mejora de los procesos, que favorezca el desarrollo de nuestra misión</t>
  </si>
  <si>
    <r>
      <t xml:space="preserve">Componente 1: </t>
    </r>
    <r>
      <rPr>
        <sz val="12"/>
        <color rgb="FF000000"/>
        <rFont val="Arial"/>
        <family val="2"/>
      </rPr>
      <t>: Ingreso y desarrollo del talento humano</t>
    </r>
  </si>
  <si>
    <t>Proveer el personal a los servicios formado y entrenado en los componentes técnicos generales del Hospital y específicos del área o servicio para donde fue asignado, mediante el fortalecimiento de los procesos de inducción y reinducción del personal, general y del cargo</t>
  </si>
  <si>
    <t xml:space="preserve">Conocimiento logrado con la inducción </t>
  </si>
  <si>
    <t>Formación y educación técnica para el talento humano que trabaja con amor por la vida</t>
  </si>
  <si>
    <t>Cobertura de inducción</t>
  </si>
  <si>
    <t>Plan de formación y capacitación</t>
  </si>
  <si>
    <t xml:space="preserve">Realizar capacitaciones al personal de   la E.S.E Hospital La María, independientemente de su modalidad de contratación.                         </t>
  </si>
  <si>
    <t xml:space="preserve">Se realizaron 3 inducciones programadas en la E.S.E Hospital La María, para estudiantes que realizaran su rotación en la E.S.E hospitalaria. </t>
  </si>
  <si>
    <t>GESTIÓN HUMANA</t>
  </si>
  <si>
    <t>GUSTAVO ARIAS Y TODOS SUS FUNCIONARIOS DE APOYO.</t>
  </si>
  <si>
    <t xml:space="preserve">Conocimiento logrado con la reinducción </t>
  </si>
  <si>
    <t>Cobertura de Reinducción</t>
  </si>
  <si>
    <t>Inducción, Reinducción y evaluación de desempeño</t>
  </si>
  <si>
    <t xml:space="preserve">Realizar la Inducción, Reinducción y evaluación de desempeño a los funcionarios de  la E.S.E Hospital La María </t>
  </si>
  <si>
    <t>Numero de evento</t>
  </si>
  <si>
    <t xml:space="preserve">La reindicción se encuentra en planeación realizarse en el tercer trimestre del año. </t>
  </si>
  <si>
    <t>No se realiza la reinduccion se reprograma para el cuarto trimestre del año</t>
  </si>
  <si>
    <t>No se realiza reinduccion</t>
  </si>
  <si>
    <r>
      <t xml:space="preserve">Componente 2: </t>
    </r>
    <r>
      <rPr>
        <sz val="12"/>
        <color theme="1"/>
        <rFont val="Arial"/>
        <family val="2"/>
      </rPr>
      <t>Desarrollo del talento humano</t>
    </r>
  </si>
  <si>
    <t xml:space="preserve">Mejoramiento de la productividad y la satisfacción del empleado con su trabajo y con la Institución a través de la capacitación, el bienestar, los incentivos, la seguridad y salud en el trabajo 
</t>
  </si>
  <si>
    <t>Aumento en el cumplimiento de la implementación del Plan de Salud y seguridad en el trabajo.</t>
  </si>
  <si>
    <t>Mejoramiento de la productividad y la satisfacción del empleado</t>
  </si>
  <si>
    <t>Sistema de gestión de seguridad y salud en el trabajo implementado en cada una de las áreas de la ESE</t>
  </si>
  <si>
    <t>Implementación Sistema de gestión de seguridad y salud en el trabajo</t>
  </si>
  <si>
    <t>Realizar la evaluación anual de los estándares mínimos al SG-SST.</t>
  </si>
  <si>
    <t>La evaluacion de estandares minimos se ingresa en la plataforma del Ministerio de Trabajo y ARL Sura en el mes de diciembre, el resto del año se ejecutan actividades del plan de trabajo para asi obtener dicho resultado</t>
  </si>
  <si>
    <t>Índice de satisfacción en el clima laboral</t>
  </si>
  <si>
    <t>Aplicación del instrumento de medición del clima laboral</t>
  </si>
  <si>
    <t>Medición del clima Laboral</t>
  </si>
  <si>
    <t>Realizar seguimiento a   los resultados obtenidos en la evaluaación del clima organizacional en la E.S.E Hospital La María.</t>
  </si>
  <si>
    <t xml:space="preserve">Se ha socializado el plan de intervención del clima laboral al comité de Bienestar, se espera que durantes el segundo y tercer trimestre del año este sea ejecutado, de igual forma se realizara una evaluación del clima laboral en distintas areas del hospital. </t>
  </si>
  <si>
    <t xml:space="preserve">Despues de realizar la medicion del clima organizacional a los empleados de planta y contratistas, da como resultado la intervencion de 42 casos prioritarios que ya esta en proceso </t>
  </si>
  <si>
    <t>Se realizaron capacitaciones propuestas de acuerdo al proceso que se viene desarrollando sobre medicion de clima laboral, una el 02 de noviembre, denominada "caja de herramientas, manejo del estrés, otra fue el 15 de noviembre, denominada "inteligencia emocional"</t>
  </si>
  <si>
    <t>Mejoramiento del porcentaje de satisfacción en el clima laboral</t>
  </si>
  <si>
    <t>Cumplimiento del desarrollo del plan de bienestar laboral.</t>
  </si>
  <si>
    <t>Actualización y seguimiento de los Planes Institucionales</t>
  </si>
  <si>
    <t>Medir la ejecución del plan de Bienestar Social e Incentivos.</t>
  </si>
  <si>
    <t>ENERO: En el mes de enero se realizó la conmemorción del día  de la lucha contra el cancer, de igual forma el reconocimiento por area y celebracón de cumpleaños. FEBRERO: Se dieron  45 auxilios pertenecientes del plan de Bienestar, se realizó reconocimiento por area, una actividad ludico- recreativa con el persoal prejubilable y una pausa activa en torre admistrativa, de igual forma se realizo la celebración del cumpleaños del personal de planta, y se implemento la estrategia de los escuchaderos. MARZO: Se realizó la entrega de 18 auxilios. Celebración del día del Hombre y celebración del día de la mujer,  de igual forma una pausa activa ludico- recreativa con COMFAMA, y desde bienestar se realizó una pausa activa de relajación, se realizó la celebración del cumpleaños.</t>
  </si>
  <si>
    <t>En el mes de abril se realizó la entrega de 14 auxilios. Celebración del día de la secretaria,  de igual forma una pausa activa lúdico- recreativa con COMFAMA, y desde bienestar se realizó una pausa activa de relajación, se realizó la celebración del cumpleaños.  se realizaron dos inducciones en la E.S.E Hospital la María los días 3 y 17 de abril,  una charla de atención humanizada a conductores de ambulancia y atención diferencial en salud a enfermeros de la E.S.E Hospital La María.                         En el mes de mayo se realizó la entrega de 8 auxilios y un préstamo. Celebración del día de la enfermera y día de la madre y una pausa activa de activación muscular, se realizó celebración de cumpleaños. se realizaron dos inducciones en la E.S.E Hospital la María los días 2 y 16 de mayo, además charla de acoso laboral y sexual, y socialización del riesgo psicosocial.                                En el mes de junio se realizó la entrega de 8 auxilios educativos, calamidad, odontológicos y lentes. Celebración del día del servidor público y día del padre, se realizó celebración de cumpleaños, se realizaron dos inducciones, además charla sobre el manejo del estrés y socialización del riesgo psicosocial.</t>
  </si>
  <si>
    <t>En el mes de julio se realizó la entrega de 7 auxilios educativos, calamidad, odontológicos y lentes. Celebración del día del conductor, día del padre, día de la familia, entrega de 9 bonos de cumpleaños,  Se realizaron 3 inducciones los días 4, 18 y 24, además caja de herramientas y manejo del estrés.  En el mes de agosto se realizó la entrega de 6 auxilios educativos, calamidad, odontológicos y lentes, 2 prestamos, Celebración del día del nutricionista, día del ingeniero, día del comunicador social, entrega de 7 bonos de cumpleaños, Se realizaron 2 inducciones los días 1 y 15, manejo del estrés.              En el mes de septeimbre Se realizó la entrega de 6 auxilios educativos, calamidad, odontológicos y lentes, Celebración del día del fonoaudiólogo, día del amor y amistad, día del químico farmacéutico, día del cumpleaños numero 100 del hospital, entrega de 9 bonos de cumpleaños, Se realizaron 2 inducciones los días 1 y 15, manejo del estrés</t>
  </si>
  <si>
    <t>En el mes de octubre se realizó la entrega de 4 auxilios odontológicos. Celebración del día del niño y celebracion de cumpleaños correspondientes al mes, se realizaron 2 inducciones y 1 capacitacion de manejo de emociones.                                                        En el mes de noviembre se realizó la entrega de 1 auxilio de lentes, celebracion de cumpleaños, Celebración del día dia del administrador publico y entrega de incentivos de proteccion, se realizaron 2 inducciones, manejo del estres, inteligencia emocional y prevencion del acoso laboral.              En el mes de diciembre se otorga 4 prestamos, 2 auxilios de lentes, 1 de calamidad y 1 educativo, se realizo la bienvenida a la navidad, dia del medico y integracion de fin de año, se realizaron 2 inducciones, capacitacion sobre liderazgo horizontal y relaciones interpersonales.</t>
  </si>
  <si>
    <t>Cumplimiento al plan anual de capacitaciones</t>
  </si>
  <si>
    <t>Medir la ejecución del plan de Formación y Capacitaciones.</t>
  </si>
  <si>
    <t>ENERO: Se realizaron dos inducciones en la E.S.E  Hospital la Maria los días 2 y 16 de enero, dado al numero de estudiantes que iban a ingresar se vio la necesidad de realizar una inducción extraordinaria el día 27 de enero en UNIREMINGTON. FEBRERO: Se realizaron dos inducciones en la E.S.E hospital la María los días 1 y 15 de febrero, dado al numero de estudiantes que iban a ingresar ser vio en la necesidad de realizar 2 inducciones extraordinarias los días 10 y 2 de febrero en las universidades UNIREMINGTON, se realizó capacitación sobre Dinamica Genrencial para oficina de gestión del talento humano, de igual se realizó una capacitación sobre trabajo bajo presión a personal de enfermeria y se realizó una capacitación sobre salud mental a la asociación de usuarios. En el mes se tenía presupuestado realizar un curso virtual de atención a la conducta soucida, y curso virtual sobre el abordaje integral en la salud del paciente víctima de violencia sexual los cuales los iba a dictar la UDEA y fueron cancelados desde la misma entidad, y un curso de primeros auxilios psicologicos pero no se cumplio con el numero de personas necesarias para habilitar el curso. MARZO: se realizaron dos inducciones en la E.S.E Hospital la María los días 1 y 15 de marzo,  una charla sobre empoderamiento femenino, y una charla llamada de SUPERMAN A SUPER HUMANO.</t>
  </si>
  <si>
    <t>ABRIL: se realizaron dos inducciones en la E.S.E Hospital la María los días 3 y 17 de abril,  una charla de atención humanizada a conductores de ambulancia y atención diferencial en salud a enfermeros de la E.S.E Hospital La María. MAYO: se realizaron dos inducciones en la E.S.E Hospital la María los días 2 y 16 de mayo, además charla de acoso laboral y sexual, y socialización del riesgo psicosocial. JUNIO: se realizaron dos inducciones, además charla sobre el manejo del estrés y socialización del riesgo psicosocial.</t>
  </si>
  <si>
    <t>JULIO: Se realizaron 3 inducciones los días 4, 18 y 24, además caja de herramientas y manejo del estrés. AGOSTO: Se realizaron 2 inducciones los días 1 y 15, manejo del estrés. SEPTIEMBRE: Se realizaron 2 inducciones los días 1 y 15, manejo del estrés</t>
  </si>
  <si>
    <t>OCTUBRE: Se realizaron 2 inducciones los días 2 y 17, capacitacion sobre manejo de emociones. NOVIEMBRE: Se realizaro 1 induccion el dia 11, capacitacion del manejo del estrés, inteligencia emocional y prevencion del acoso laboral. DICIEMBRE: Se realizaron 2 inducciones los días 1 y 15, capacitacion sobre liderazgo horizontal y relaciones interpersonales</t>
  </si>
  <si>
    <t>Cumplimiento con Plan anual de vacantes</t>
  </si>
  <si>
    <t>Realizar seguimiento a los novedades que se presentan durante la anualidad al Plan de Vacantes Institucional.</t>
  </si>
  <si>
    <t>Se hace seguimiento en archivo de Excel, donde se hace el registro de las vacantes que se van generando mes ames, en este trimestre solo se genero 1 vacante en el mes de febrero</t>
  </si>
  <si>
    <t>Se hace seguimiento en archivo de Excel, donde se hace el registro de las vacantes que se van generando mes ames, en este trimestre solo se genero 3 vacantes en el mes de mayo y junio</t>
  </si>
  <si>
    <t>Se hace seguimiento en archivo de Excel, donde se hace el registro de las vacantes que se van generando mes ames, en este trimestre solo se genero 3 vacantes en el mes de julio, agosto y septiembre</t>
  </si>
  <si>
    <t>Se hace seguimiento en archivo de Excel, donde se hace el registro de las vacantes que se van generando mes ames, en este trimestre solo se genero 4 vacantes en el mes de  noviembre y diciembre</t>
  </si>
  <si>
    <t>Cumplimiento con el Plan estratégico de talento humano</t>
  </si>
  <si>
    <t xml:space="preserve">Seguimiento a la ejecución del Plan Estratégico de la gestión del Talento Humano </t>
  </si>
  <si>
    <t xml:space="preserve">Se realiza informes de seguimiento a los planes que abarcan el plan estrategico del talento humano, estos planes contienen 19 actividades de las cuales este primer trimestre se ejecutaron en enero 17, febrero 18 y marzo 18  </t>
  </si>
  <si>
    <t>Se realiza informes de seguimiento a los planes que abarcan el plan estrategico del talento humano, estos planes contienen 19 actividades de las cuales este segundo trimestre se ejecutaron en abril 18, mayo 18, junio 18</t>
  </si>
  <si>
    <t>Se realiza informes de seguimiento a los planes que abarcan el plan estrategico del talento humano, estos planes contienen 19 actividades de las cuales este tercer trimestre se ejecutaron en julio 17, agosto 17, septiembre 18</t>
  </si>
  <si>
    <t>Se realiza informes de seguimiento a los planes que abarcan el plan estrategico del talento humano, estos planes contienen 19 actividades de las cuales este tercer trimestre se ejecutaron en octubre 18, noviembre 18, diciembre 19</t>
  </si>
  <si>
    <t>Cumplimiento con el Plan de bienestar Social</t>
  </si>
  <si>
    <t>Medir la ejecución  del plan de Bienestar Social e Incentivos.</t>
  </si>
  <si>
    <t>ENERO:En el mes de enero se realizó la conmemorción del día  de la lucha contra el cancer, de igual forma el reconocimiento por area y celebracón de cumpleaños, Se realizaron dos inducciones en la E.S.E  Hospital la Maria los días 2 y 16 de enero, dado al numero de estudiantes que iban a ingresar se vio la necesidad de realizar una inducción extraordinaria el día 27 de enero en UNIREMINGTON  FEBRERO: Se dieron  45 auxilios pertenecientes del plan de Bienestar, se realizó reconocimiento por area, una actividad ludico- recreativa con el persoal prejubilable y una pausa activa en torre admistrativa, de igual forma se realizo la celebración del cumpleaños del personal de planta,  Se realizaron dos inducciones en la E.S.E hospital la María los días 1 y 15 de febrero, dado al numero de estudiantes que iban a ingresar ser vio en la necesidad de realizar 2 inducciones extraordinarias los días 10 y 2 de febrero en las universidades UNIREMINGTON, se realizó capacitación sobre Dinamica Genrencial para oficina de gestión del talento humano, de igual se realizó una capacitación sobre trabajo bajo presión a personal de enfermeria y se realizó una capacitación sobre salud mental a la asociación de usuarios. En el mes se tenía presupuestado realizar un curso virtual de atención a la conducta soucida, y curso virtual sobre el abordaje integral en la salud del paciente víctima de violencia sexual los cuales los iba a dictar la UDEA y fueron cancelados desde la misma entidad, y un curso de primeros auxilios psicologicos pero no se cumplio con el numero de personas necesarias para habilitar el curso. MARZO: Se realizó la entrega de 18 auxilios. Celebración del día del Hombre y celebración del día de la mujer,  de igual forma una pausa activa ludico- recreativa con COMFAMA, y desde bienestar se realizó una pausa activa de relajación, se realizó la celebración del cumpleaños. Día del contador, día del agua y día del riñon, se realizaron dos inducciones en la E.S.E Hospital la María los días 1 y 15 de marzo,  una charla sobre empoderamiento femenino, y una charla llamada de SUPERMAN A SUPER HUMANO.</t>
  </si>
  <si>
    <t>Cumplimiento con el Plan de estímulos e incentivos</t>
  </si>
  <si>
    <t>En los meses de enero, febrero y marzo se realizaron incentivos y celebraciones de fechas especiales.</t>
  </si>
  <si>
    <t>En los meses de abril, mayo y junio se realizaron incentivos y celebraciones de fechas especiales.</t>
  </si>
  <si>
    <t>En los meses de julio, agosto y septiembre se realizaron incentivos y celebraciones de fechas especiales.</t>
  </si>
  <si>
    <t>En los meses de octubre, noviembre y diciembre se realizaron incentivos y celebraciones de fechas especiales.</t>
  </si>
  <si>
    <t>Cumplimiento con el Plan de evaluación del desempeño</t>
  </si>
  <si>
    <t>Seguimiento a la ejecución del plan evaluación del desempeño.</t>
  </si>
  <si>
    <t>Este indicador se mide semestralmente en las fechas estipuladas del 01 de febrero al 31 de julio y del 01 de agosto al 31 de enero del año siguiente; por ende es medido en los meses de febrero y de agosto terminado el periodo de la evaluación, en el mes de febrero se evaluan 28 empleados de carrera</t>
  </si>
  <si>
    <t>Este indicador se mide semestralmente en las fechas estipuladas del 01 de febrero al 31 de julio y del 01 de agosto al 31 de enero del año siguiente; por ende es medido en los meses de febrero y de agosto terminado el periodo de la evaluación</t>
  </si>
  <si>
    <t>Este indicador se mide semestralmente en las fechas estipuladas del 01 de febrero al 31 de julio y del 01 de agosto al 31 de enero del año siguiente; por ende es medido en los meses de febrero y de agosto terminado el periodo de la evaluación, en el mes de agosto  se evaluan 10 empleados de carrera de 27</t>
  </si>
  <si>
    <t>Este indicador se mide semestralmente en las fechas estipuladas del 01 de febrero al 31 de julio y del 01 de agosto al 31 de enero del año siguiente; por ende es medido en los meses de febrero y de agosto terminado el periodo de la evaluación, en el mes de agosto  se evaluan 10 empleados de carrera de 28. se esta en la etapa de evaluacion definitiva correspondiente al segundo periodo</t>
  </si>
  <si>
    <t>Componente: 3 Retiro del talento humano</t>
  </si>
  <si>
    <t>Implementar estrategias que permitan la retención y conservación del conocimiento, la fidelización del personal de apoyo misional y administrativo, y el retiro digno del personal jubilado</t>
  </si>
  <si>
    <t xml:space="preserve">Variación de la deserción del personal de apoyo administrativo y misional </t>
  </si>
  <si>
    <r>
      <rPr>
        <u/>
        <sz val="11"/>
        <color theme="1"/>
        <rFont val="Arial"/>
        <family val="2"/>
      </rPr>
      <t>&lt;</t>
    </r>
    <r>
      <rPr>
        <sz val="11"/>
        <color theme="1"/>
        <rFont val="Arial"/>
        <family val="2"/>
      </rPr>
      <t>1</t>
    </r>
  </si>
  <si>
    <t>Fidelización del personal de apoyo misional y administrativo</t>
  </si>
  <si>
    <t>Cumplimiento en las actividades de capacitación prejubilables</t>
  </si>
  <si>
    <r>
      <t>Gestión del conocimiento</t>
    </r>
    <r>
      <rPr>
        <b/>
        <sz val="12"/>
        <color theme="1"/>
        <rFont val="Arial"/>
        <family val="2"/>
      </rPr>
      <t xml:space="preserve"> </t>
    </r>
  </si>
  <si>
    <t>Seguimiento a la ejecución del cronograma a las capacitaciones del personal prejubilable</t>
  </si>
  <si>
    <t>Aunque no estaba planeado realizar capacitación al personal prejubilable de la E.S.E hospitalaria, se realizó una capacitación sobre empatía en el mes de febrero, en el mes de marzo se realiza charla sobre empoderamiento femenino, nuevas masculinidades y un espacio ludico recreativo</t>
  </si>
  <si>
    <t>En el mes de abril se realiza salida pedagogica y charla sobre proyecto de vida, en los meses de mayo y junio no se realiza ninguna actividad</t>
  </si>
  <si>
    <t>No se realiza actividad en los meses de julio, agosto y en el mes de septiembre se realiza integracion donde asistieron 24 prejubilables</t>
  </si>
  <si>
    <t>No se realizan actividades en este trimestre</t>
  </si>
  <si>
    <t xml:space="preserve">Satisfacción del empleado jubilado y su familia  </t>
  </si>
  <si>
    <t>Índice de rotación del personal administrativo y misional</t>
  </si>
  <si>
    <t>Medir el indicador de rotación del personal.</t>
  </si>
  <si>
    <t>Se toma en cuenta el personal que se encuentra laborando y que es promocionado a otro cargo dentro de la misma planta  y los traslados que por recomendaciones medicas se deban hacer para cumplir con la norma, se cuenta únicamente los soportados bajo acto administrativo. 
En este trimestre se realiza la reubicacion de 4 cargos</t>
  </si>
  <si>
    <t>Se toma en cuenta el personal que se encuentra laborando y que es promocionado a otro cargo dentro de la misma planta  y los traslados que por recomendaciones medicas se deban hacer para cumplir con la norma, se cuenta únicamente los soportados bajo acto administrativo. 
En este trimestre no se tubo ninguna novedad</t>
  </si>
  <si>
    <t>Se toma en cuenta el personal que se encuentra laborando y que es promocionado a otro cargo dentro de la misma planta  y los traslados que por recomendaciones medicas se deban hacer para cumplir con la norma, se cuenta únicamente los soportados bajo acto administrativo. 
En este trimestre se realiza la reubicacion de 2 cargos</t>
  </si>
  <si>
    <t xml:space="preserve">Formulación de la Política de Gestión del
Conocimiento </t>
  </si>
  <si>
    <t xml:space="preserve">Seguimiento al cumplimiento Política de Gestión del Conocimiento </t>
  </si>
  <si>
    <t>Se da comienzo con la realización de la política en diciembre de 2021 y se oficializa con la resolución el 30 de diciembre 2022. Para el 2023 se realizará el diseño de implementación de actividades de la política.</t>
  </si>
  <si>
    <t xml:space="preserve">Se da comienzo con la implementación del autodiagnóstico de la política de gestión del conocimiento y la innovación, para saber en que áreas están realizados los procedimientos de los procesos de cada área. </t>
  </si>
  <si>
    <t xml:space="preserve">TERCER TRIMESTRE </t>
  </si>
  <si>
    <t>CUMPLIDOS</t>
  </si>
  <si>
    <t>NUMERO-NUMERO</t>
  </si>
  <si>
    <t>CAMBIIO DE % A NUMERO</t>
  </si>
  <si>
    <t>LINEA 1</t>
  </si>
  <si>
    <t>Numero de actividades programadas medidad en  numero</t>
  </si>
  <si>
    <t>Numero de actividades programadas medidas en porcentaje</t>
  </si>
  <si>
    <t>Programadas 1 trimestre</t>
  </si>
  <si>
    <t>Ejecutadas</t>
  </si>
  <si>
    <t>Número de actividades  programadas medidas en numero</t>
  </si>
  <si>
    <t>Ejecutadas 2 trimestre</t>
  </si>
  <si>
    <t>Programadas 3 trimestre</t>
  </si>
  <si>
    <t>Ejecutadas 3 trimestre</t>
  </si>
  <si>
    <t>Programadas 4 trimestre</t>
  </si>
  <si>
    <t>Ejecutadas 1 trimestre</t>
  </si>
  <si>
    <t>Componente 1</t>
  </si>
  <si>
    <t>Componente 2</t>
  </si>
  <si>
    <t>Componente 3</t>
  </si>
  <si>
    <t>LINEA 2</t>
  </si>
  <si>
    <t>LINEA 3</t>
  </si>
  <si>
    <t>LINEA 4</t>
  </si>
  <si>
    <t>hay una medición de días dentro de los porcentaje</t>
  </si>
  <si>
    <t>Componente 4</t>
  </si>
  <si>
    <t>LINEA 5</t>
  </si>
  <si>
    <t>LINEA 6</t>
  </si>
  <si>
    <t>LINEA 7</t>
  </si>
  <si>
    <t>LINEA 8</t>
  </si>
  <si>
    <t>Numero total de actividades año</t>
  </si>
  <si>
    <t>porcentaje de cumplimiento</t>
  </si>
  <si>
    <t>% CUMPLIMIENTO PROGRAMADAS AÑO</t>
  </si>
  <si>
    <t>Programadas 2 trimestre</t>
  </si>
  <si>
    <t>TOTAL ACTIVIDADES LINEA</t>
  </si>
  <si>
    <t>porcentaje de cumplimiento 1 trimestre</t>
  </si>
  <si>
    <t>porcentaje de cumplimiento 2 trimestre</t>
  </si>
  <si>
    <t>porcentaje de cumplimiento 3 trimestre</t>
  </si>
  <si>
    <t>porcentaje de cumplimiento 4 trimestre</t>
  </si>
  <si>
    <t>ACTIVIDADES PROGRAMADAS AÑO</t>
  </si>
  <si>
    <t>ACTIVIDADES PROGRAMADAS   PRIMER TRIMESTRE</t>
  </si>
  <si>
    <t>ACTIVIDADES EJECUTADAS PRIMER TRIMESTRE</t>
  </si>
  <si>
    <t>% CUMPLIMIENTO PRIMER TRIMESTRE</t>
  </si>
  <si>
    <t>TOTAL ACTIVIDADES PROGRAMADAS AL SEGUNDO  TRIMESTRES</t>
  </si>
  <si>
    <t>TOTAL EJECUTADAS  AL  SEGUNDO  TRIMESTRE</t>
  </si>
  <si>
    <t>% CUMPLIMIENTO SEGUNDO TRIMESTRE</t>
  </si>
  <si>
    <t>TOTAL ACTIVIDADES PROGRAMADAS AL  TERCER   TRIMESTRES</t>
  </si>
  <si>
    <t>TOTAL EJECUTADAS  AL  TERCER  TRIMESTRE</t>
  </si>
  <si>
    <t>% CUMPLIMIENTO TERCER TRIMESTRE</t>
  </si>
  <si>
    <t>TOTAL ACTIVIDADES PROGRAMADAS AL CUARTO TRIMESTRES</t>
  </si>
  <si>
    <t>TOTAL EJECUTADAS  AL  SCUARTO  TRIMESTRE</t>
  </si>
  <si>
    <t>% CUMPLIMIENTO CUARTO TRIMESTRE</t>
  </si>
  <si>
    <t>TOTAL CUMPLIMIENTO AÑO</t>
  </si>
  <si>
    <t>SE BAJARON 26 ACTIVIDADES ESTO ES UN APROYECCIÓN PARA CUMPLIR CON EL PLAN DE GESTIÓN.</t>
  </si>
  <si>
    <t>RESUMEN DE EJECUCIÓN FÍSICA DEL POAI 2022 DE LA ESE HOSPITAL LA MARÍA.</t>
  </si>
  <si>
    <t>SEGUIMIENTO FÍSICO  POAI 1 TRIMETRES 2022</t>
  </si>
  <si>
    <t>SEGUIMIENTO FÍSICO  POAI 2 TRIMETRES 2022</t>
  </si>
  <si>
    <t>% DE AVANCE 1 SEMESTRE FISICO -PROGRAMADAS TRIMESTRE</t>
  </si>
  <si>
    <t>% DE AVANCE 1 SEMESTRE FISICO -PROGRAMADAS AÑO</t>
  </si>
  <si>
    <t>% DE AVANCE 1 SEMESTRE FINANCIERO</t>
  </si>
  <si>
    <t>SEGUIMIENTO FÍSICO  POAI 3 TRIMETRES 2022</t>
  </si>
  <si>
    <t>SEGUIMIENTO FÍSICO  POAI 4 TRIMETRES 2022</t>
  </si>
  <si>
    <t>% DE AVANCE 4 SEMESTRE FISICO -PROGRAMADAS TRIMESTRE</t>
  </si>
  <si>
    <t>% DE AVANCE4 SEMESTRE FISICO -PROGRAMADAS AÑO</t>
  </si>
  <si>
    <t>% DE AVANCE 4 SEMESTRE FINANCIERO</t>
  </si>
  <si>
    <t>LINEAS PLAN DE DESARROLLO</t>
  </si>
  <si>
    <t>TOTAL AÑO EJECUTADAS</t>
  </si>
  <si>
    <t>TOTAL PROGRAMADAS</t>
  </si>
  <si>
    <t>PORCENTAJE DE CUMPLIMIENTO</t>
  </si>
  <si>
    <t xml:space="preserve">LINEAS </t>
  </si>
  <si>
    <t>TOTAL ACTIVIDADES PROGRAMADAS AÑO</t>
  </si>
  <si>
    <t>PROGRAMADAS 1 TRIMETRE</t>
  </si>
  <si>
    <t>REALIZADAS 1 TRIMETRE</t>
  </si>
  <si>
    <t xml:space="preserve">% CUMPLIMIENTO  CON RELACIÓN A LAS PROGRAMADAS AÑO </t>
  </si>
  <si>
    <t xml:space="preserve">% CON RELACIÓN A LAS PROGRAMADAS 1 TRIMESTRE </t>
  </si>
  <si>
    <t>RECURSOS INICIALES ASIGNADOS</t>
  </si>
  <si>
    <t>RECURSOS EJECUTADO</t>
  </si>
  <si>
    <t>% DE EJECUCIÓN</t>
  </si>
  <si>
    <t>OBSERVACIÓN</t>
  </si>
  <si>
    <t>PROGRAMADAS 2TRIMETRE</t>
  </si>
  <si>
    <t>REALIZADAS 2TRIMETRE</t>
  </si>
  <si>
    <t xml:space="preserve">% CON RELACIÓN A LAS PROGRAMADAS 2 TRIMESTRE </t>
  </si>
  <si>
    <t>PROGRAMADAS 3TRIMETRE</t>
  </si>
  <si>
    <t>REALIZADAS 3TRIMETRE</t>
  </si>
  <si>
    <t xml:space="preserve">% CON RELACIÓN A LAS PROGRAMADAS 3 TRIMESTRE </t>
  </si>
  <si>
    <t>PROGRAMADAS 4TRIMETRE</t>
  </si>
  <si>
    <t>REALIZADAS 4TRIMETRE</t>
  </si>
  <si>
    <t xml:space="preserve">% CON RELACIÓN A LAS PROGRAMADAS 4 TRIMESTRE </t>
  </si>
  <si>
    <t>Linea 1</t>
  </si>
  <si>
    <t>Linea 2</t>
  </si>
  <si>
    <t>Linea 3</t>
  </si>
  <si>
    <t>Linea 4</t>
  </si>
  <si>
    <t>Linea 5</t>
  </si>
  <si>
    <t>Linea 6</t>
  </si>
  <si>
    <t>Linea 7</t>
  </si>
  <si>
    <t>Linea 8</t>
  </si>
  <si>
    <t>PROMEDIO TOTAL LINEAS</t>
  </si>
  <si>
    <t>% CUMPLIMIENTO</t>
  </si>
  <si>
    <t>SEGUIMIENTO FINANCIERO  POAI 2021</t>
  </si>
  <si>
    <t xml:space="preserve"> RECURSOS  INICIALES ASISGNADOS</t>
  </si>
  <si>
    <t>EJECUCIÓN 1 TRIMESTRE</t>
  </si>
  <si>
    <t>EJECUCIÓN 2 TRIMESTRE</t>
  </si>
  <si>
    <t>EJECUCIÓN 3 TRIMESTRE</t>
  </si>
  <si>
    <t>EJECUCIÓN 4 TRIMESTRE</t>
  </si>
  <si>
    <t>TOTAL RECURSOS EJECUTADOS</t>
  </si>
  <si>
    <t>% TOTAL EJECUTADO</t>
  </si>
  <si>
    <t>ACTIVIDADES PROGRAMADAS  TERCER TRIMESTRE</t>
  </si>
  <si>
    <t>ACTIVIDADES EJECUTADAS TERCER TRIMESTRE</t>
  </si>
  <si>
    <t>TOTAL ACTIVIDADES PROGRAMADAS AL TRIMESTRES</t>
  </si>
  <si>
    <t>TOTAL EJECUTADAS  AL TERCER TRIMESTRE</t>
  </si>
  <si>
    <t>TOTAL CUMPLIMIENTO DE ACTIVIDADES -AÑO</t>
  </si>
  <si>
    <t>TOTAL RECURSOS ASISGNADOS</t>
  </si>
  <si>
    <t>PORCENTAJE POR TRIMESTRES</t>
  </si>
  <si>
    <t>PORCENTAJE COMPARADO CON EL AÑO</t>
  </si>
  <si>
    <t>CUMPLIMIENTOS DE EJECUCIÓN EN CADA TRIMESTRE</t>
  </si>
  <si>
    <t>PORCENTAJE</t>
  </si>
  <si>
    <t>PRIMER TRIMESTRE</t>
  </si>
  <si>
    <t>SEGUNDO TRIMESTRE</t>
  </si>
  <si>
    <t>TERCER TRIMESTRE</t>
  </si>
  <si>
    <t>TOTAL</t>
  </si>
  <si>
    <t>TERCER TRIMESTRE  (TRAIDO DEL POAI)</t>
  </si>
  <si>
    <t>CAMBIO DE % A NUMERO</t>
  </si>
  <si>
    <t>ACTIVIDADES PROGRAMADAS  CUARTO TRIMESTRE</t>
  </si>
  <si>
    <t>ACTIVIDADES EJECUTADAS CUARTO TRIMESTRE</t>
  </si>
  <si>
    <t>TOTAL ACTIVIDADES PROGRAMADAS AL ULTIMO TRIMESTRE</t>
  </si>
  <si>
    <t>TOTAL EJECUTADAS  AL CUARTO TRIMESTRE TRIMESTRE</t>
  </si>
  <si>
    <t>TOTAL LINEAS</t>
  </si>
  <si>
    <t>LINEA DEL PLAN</t>
  </si>
  <si>
    <t xml:space="preserve"> NUMERO TOTAL ACTIVIDADES  PROGRAMADAS  LINEA</t>
  </si>
  <si>
    <t>TOTAL EJECUTADAS 1 TRIMESTRE</t>
  </si>
  <si>
    <t>% PORCENTAJE DE CUMPLIMIENTO</t>
  </si>
  <si>
    <t>RECURSOS EJECUTADOS  1 TRIMESTRES</t>
  </si>
  <si>
    <t>NUMERO DE ACTIVIDADES PROYECTADAS 1 TRIMESTRE</t>
  </si>
  <si>
    <t xml:space="preserve">NUMERO </t>
  </si>
  <si>
    <t xml:space="preserve"> Dirección estratégica para una gestión con responsabilidad</t>
  </si>
  <si>
    <t>Gestión financiera y administrativa para el desarrollo sostenible</t>
  </si>
  <si>
    <t>Gestión asistencial humanizada y equitativa</t>
  </si>
  <si>
    <t>Enfoque de servicios por la vida</t>
  </si>
  <si>
    <t>Compañía, amor y humanización al servicio de todos</t>
  </si>
  <si>
    <t>Innovación, ciencia e investigación para la vida</t>
  </si>
  <si>
    <t>Medio ambiente sano y seguro, dejando huella para la vida</t>
  </si>
  <si>
    <t>Gestión integral del talento humano que trabaja con amor por la vida</t>
  </si>
  <si>
    <t>ACTIVIDADES PROGRAMADAS  PRIEMER TRIMESTRE</t>
  </si>
  <si>
    <t>ACTIVIDADES EJECUTADAS PRIMER   TRIMESTRE</t>
  </si>
  <si>
    <t>% CUMPLIMIENTO PRIMER  TRIMESTRE</t>
  </si>
  <si>
    <t>TOTAL ACTIVIDADES PROGRAMADAS SEGUNDO TRIMESTRE</t>
  </si>
  <si>
    <t>TOTAL EJECUTADAS  AL SEGUNDO TRIMESTRE</t>
  </si>
  <si>
    <t>TOTAL ACTIVIDADES EJECUTADAS</t>
  </si>
  <si>
    <t>CONSOLIDADO POAI 2023</t>
  </si>
  <si>
    <t xml:space="preserve">LINEA </t>
  </si>
  <si>
    <t>COMPONENTE</t>
  </si>
  <si>
    <t>VALOR</t>
  </si>
  <si>
    <t>TOTAL LINEA</t>
  </si>
  <si>
    <t>% SOBRE TOTAL DE LA LINEA</t>
  </si>
  <si>
    <t xml:space="preserve">% LINEA SOBRE TOTAL PRESUPUESTO </t>
  </si>
  <si>
    <t xml:space="preserve">Componente 2: Comprometidos con el mejoramiento continuo </t>
  </si>
  <si>
    <t>Componente 2:Componente 2: administración con calidad, transparencia y eficiencia para todos</t>
  </si>
  <si>
    <t>Línea 3: Gestión asistencial humanizada y equitativa</t>
  </si>
  <si>
    <t>Componente 1: Hospital Líder en la atención de las patologías con mayor impacto en la salud pública,
comprometidos con la excelencia en la atención</t>
  </si>
  <si>
    <t>Componente 2 :Integración y alianzas para el mejoramiento en la accesibilidad y en la oportunidad en los
servicios.</t>
  </si>
  <si>
    <t>Línea 4: Enfoque de servicios por la vida</t>
  </si>
  <si>
    <t>Componente 2: Memoria institucional</t>
  </si>
  <si>
    <t>Componente 3: Tecnología biomédica segura para la vida</t>
  </si>
  <si>
    <t xml:space="preserve">Componente 4: Tecnología segura para el desarrollo de la ESE </t>
  </si>
  <si>
    <t>Línea 6: Innovación, ciencia e investigación para la vida</t>
  </si>
  <si>
    <t>línea 7: medio ambiente sano y seguro, dejando huella para la vida</t>
  </si>
  <si>
    <t>Componente 1:Alineación ecológica con responsabilidad social</t>
  </si>
  <si>
    <t>Línea 8: Gestión integral del talento humano que trabaja con amor por la vida</t>
  </si>
  <si>
    <t>Componente 1: : Ingreso y desarrollo del talento humano</t>
  </si>
  <si>
    <t>Componente 2: Desarrollo del talento humano</t>
  </si>
  <si>
    <t>1xcv</t>
  </si>
  <si>
    <t>Línea</t>
  </si>
  <si>
    <t>total componente</t>
  </si>
  <si>
    <t>total linea</t>
  </si>
  <si>
    <t>Componente 2: Memoria institucional.</t>
  </si>
  <si>
    <t>Línea 5: Compañía, amor y humanización al servicio de todos</t>
  </si>
  <si>
    <t>Prueba</t>
  </si>
  <si>
    <t>Diferencia</t>
  </si>
  <si>
    <t>Presupuesto 2023</t>
  </si>
  <si>
    <t>PLAN OPERATIVO ANUAL DE INVERSIONES 2024
ESE HOSPITAL LA MARÍA</t>
  </si>
  <si>
    <t>LÍNEA 1: Dirección estratégica para una gestión con responsabilidad</t>
  </si>
  <si>
    <t>INDICADOR</t>
  </si>
  <si>
    <t>OBJETIVO</t>
  </si>
  <si>
    <t>ACTIVIDAD</t>
  </si>
  <si>
    <t>Institución solida</t>
  </si>
  <si>
    <t xml:space="preserve">Presentar el rediseños intitucional  de la estrutura y  presentarlo para  aprobación en la junta directiva  </t>
  </si>
  <si>
    <t xml:space="preserve">Comprometidos con el mejoramiento continuo </t>
  </si>
  <si>
    <t xml:space="preserve">Seguimiento al cumplimiento del plan de mejora de las acciones definidas en los hallazgos d ela auditoria interna  </t>
  </si>
  <si>
    <t>Seguimiento estratégico para la toma de decisiones</t>
  </si>
  <si>
    <t>Lograr el cumplimiento de las metas trazadas en el Plan de Desarrollo Institucional</t>
  </si>
  <si>
    <t>Seguimiento  trimestral de la metas propuestas en el plan y el POAI</t>
  </si>
  <si>
    <t>TOTAL LÍNEA:</t>
  </si>
  <si>
    <t>LÍNEA: 3 Gestión asistencial humanizada y equitativa</t>
  </si>
  <si>
    <t>:Integración y alianzas para el mejoramiento en la accesibilidad y en la oportunidad en los
servicios.</t>
  </si>
  <si>
    <t>Evaluar la oportunidad del servicio de referencia y contrareferencia en la aceptacion de pacientes y en la respuesta sobre la prestacion</t>
  </si>
  <si>
    <t>+</t>
  </si>
  <si>
    <t>|</t>
  </si>
  <si>
    <t>LÍNEA2: Gestión financiera y administrativa para el desarrollo sostenible</t>
  </si>
  <si>
    <t>Equilibrio y sostenibilidad con rentabilidad social y financiera</t>
  </si>
  <si>
    <t xml:space="preserve">Realizar preauditoria a las facturas antes de su radicacion </t>
  </si>
  <si>
    <t>Administración con calidad, transparencia y eficiencia para todos</t>
  </si>
  <si>
    <t>Asegurar la validación de las oredes de compra en el comité de compras y/o comité de contratación</t>
  </si>
  <si>
    <t>LÍNEA 4: Enfoque de servicios por la vida</t>
  </si>
  <si>
    <t>Modelo de atención integral centrado en el trato digno</t>
  </si>
  <si>
    <t>Actualizar el documento del modelo de atención de la ESE Hospital La Maríaa</t>
  </si>
  <si>
    <t>Memoria institucional</t>
  </si>
  <si>
    <t>Realizar el inventario documental</t>
  </si>
  <si>
    <t xml:space="preserve">Identificar el proveedor para Plataforma de Gestión Documental  </t>
  </si>
  <si>
    <t>Tecnología biomédica segura para la vida</t>
  </si>
  <si>
    <t>Realzar correctivos mensuales asociados al mal uso de la tecnologia biomedica</t>
  </si>
  <si>
    <t xml:space="preserve">Tecnología segura para el desarrollo de la ESE </t>
  </si>
  <si>
    <t>Cobertura de Licencias de Antivirus (ICLA)</t>
  </si>
  <si>
    <t>LÍNEA 5: Compañía, amor y humanización al servicio de todos</t>
  </si>
  <si>
    <t>Comunicación para el cambio y desarrollo social</t>
  </si>
  <si>
    <t xml:space="preserve">Realizar piezas gráficas que sensibilicen al personal y comunidad  sobre el trato digno a la población vulnerable que serán difundidas por los diferentes medios de comunicación institucionales.  </t>
  </si>
  <si>
    <t xml:space="preserve">Creación de un boletín interno, el cual tendrá noticias destacadas de lo que pasa en la institución. Este será difundido por los correos electrónicos y grupos de WhasApp.  </t>
  </si>
  <si>
    <t>Atención y cuidado al usuario</t>
  </si>
  <si>
    <t xml:space="preserve">Socializar con la comunidad el debido procedimiento que tiene una PQRSD dentro de la institución. (rondas educativas, piezas gráficas).  </t>
  </si>
  <si>
    <t>LÍNEA 6: Innovación, ciencia e investigación para la vida</t>
  </si>
  <si>
    <t>Investigación con sentido de vida y responsabilidad social</t>
  </si>
  <si>
    <t>Investigación para la formación de competencias y desarrollo profesional en salud.</t>
  </si>
  <si>
    <t>LÍNEA 7: Medio ambiente sano y seguro, dejando huella para la vida</t>
  </si>
  <si>
    <t xml:space="preserve"> Alineación ecológica con responsabilidad social</t>
  </si>
  <si>
    <t xml:space="preserve">Realizar la actualización del PGIRASA, de acuerdo a las necesidades que se presenten en la E.S.E. y a la normatividad vigente   </t>
  </si>
  <si>
    <t>Capacitaciones para la educación y concientización del consumo del agua</t>
  </si>
  <si>
    <t>LÍNEA 8: Gestión integral del talento humano que trabaja con amor por la vida</t>
  </si>
  <si>
    <t>Ingreso y desarrollo del talento humano</t>
  </si>
  <si>
    <t xml:space="preserve">Realizar capacitaciones al personal de   la E.S.E Hospital La María, independientemente de su modalidad de contratación. </t>
  </si>
  <si>
    <t xml:space="preserve"> Desarrollo del talento humano</t>
  </si>
  <si>
    <t xml:space="preserve">Mejoramiento de la productividad y la satisfacción del empleado con su trabajo y con la Institución a través de la capacitación, el bienestar, los incentivos, la seguridad y salud en el trabajo </t>
  </si>
  <si>
    <t xml:space="preserve"> Retiro del talento humano</t>
  </si>
  <si>
    <t xml:space="preserve">Seguimiento al cumplimiento Política de Gestión del Conocimiento  </t>
  </si>
  <si>
    <t>LINEA</t>
  </si>
  <si>
    <t>Dirección estratégica para una gestión con responsabilidad</t>
  </si>
  <si>
    <t>RESUMEN DE EJECUCIÓN FÍSICA Y FIANCIERA DEL POAI 2021 DE LA ESE HOSPITAL LA MARÍA.</t>
  </si>
  <si>
    <t>ACTIVIDADES PROGRAMADAS SEMESTRES</t>
  </si>
  <si>
    <t>ACTIVIDADES SEMESTRE</t>
  </si>
  <si>
    <t xml:space="preserve">% SEMESTRE </t>
  </si>
  <si>
    <t>se tomaran como cumplidas aquellas actividades que cumplan mas del 70%</t>
  </si>
  <si>
    <t>CONSOLIDADO POAI 2022</t>
  </si>
  <si>
    <t xml:space="preserve">TOTAL EJECUCIÓN </t>
  </si>
  <si>
    <t>% EJECUCIÓN</t>
  </si>
  <si>
    <t>SEGUIMIENTO FÍSICO  POAI 1 TRIMETRES 2021</t>
  </si>
  <si>
    <t>SEGUIMIENTO FÍSICO  POAI 2 TRIMETRES 2021</t>
  </si>
  <si>
    <t>SEGUIMIENTO FÍSICO  POAI 3 TRIMETRES 2021</t>
  </si>
  <si>
    <t>SEGUIMIENTO FÍSICO  POAI 4 TRIMETRES 2021</t>
  </si>
  <si>
    <t>ACTIVIDADES PROGRAMADAS  PRIMER  TRIMESTRE</t>
  </si>
  <si>
    <t>ACTIVIDADES PROGRAMADAS  SEGUNDO  TRIMESTRE</t>
  </si>
  <si>
    <t>ACTIVIDADES EJECUTADAS SEGUNDO TRIMESTRE</t>
  </si>
  <si>
    <t>% CUMPLIMIENTO SEGUNDO  TRIMESTRE</t>
  </si>
  <si>
    <t>TOTAL ACTIVIDADES PROGRADAS AÑO</t>
  </si>
  <si>
    <t>TOTAL ACTIVIDADES EJECUTADAS  AÑO</t>
  </si>
  <si>
    <t>PLAN OPERATIVO ANUAL PLAN DE DESARROLLO 2020 -2023</t>
  </si>
  <si>
    <t>1. LÍNEA</t>
  </si>
  <si>
    <t>COMPONENTES</t>
  </si>
  <si>
    <t>CUARTO TRIMESTRE</t>
  </si>
  <si>
    <t>META 2021</t>
  </si>
  <si>
    <t>AVANCE A 31 DE MAYO</t>
  </si>
  <si>
    <t>AVANCE A 30 DE JUNIO</t>
  </si>
  <si>
    <t>1. DIRECCIÓN ESTRATÉGICA PARA UNA GESTIÓN CON RESPONSABILIDAD</t>
  </si>
  <si>
    <t xml:space="preserve">1.1. Institución solida </t>
  </si>
  <si>
    <t xml:space="preserve">Modernización de la estructura organizacional aprobada </t>
  </si>
  <si>
    <t>Unidades funcionales con estudios multifactoriales de mercado</t>
  </si>
  <si>
    <t xml:space="preserve">Análisis de mercado para unidades de negocio </t>
  </si>
  <si>
    <t xml:space="preserve">1.2.  Comprometidos con el mejoramiento continuo </t>
  </si>
  <si>
    <t>&gt;1.47</t>
  </si>
  <si>
    <t>Procesos Socializados</t>
  </si>
  <si>
    <t>Formulación de la política de administración del riesgo</t>
  </si>
  <si>
    <t>1.3.  Seguimiento estratégico para la toma de decisiones.</t>
  </si>
  <si>
    <t>Cumplimiento del Plan de Desarrollo Institucional</t>
  </si>
  <si>
    <t>Actividades de socialización del Plan de Desarrollo</t>
  </si>
  <si>
    <t>Seguimiento a las metas de Plan de Desarrollo</t>
  </si>
  <si>
    <t>2. LÍNEA</t>
  </si>
  <si>
    <t>2. GESTIÓN FINANCIERA Y ADMINISTRATIVA PARA EL DESARROLLO SOSTENIBLE</t>
  </si>
  <si>
    <t xml:space="preserve">2.1. Equilibrio y sostenibilidad con rentabilidad social y financiera </t>
  </si>
  <si>
    <r>
      <rPr>
        <sz val="11"/>
        <rFont val="Calibri"/>
        <family val="2"/>
      </rPr>
      <t>≥</t>
    </r>
    <r>
      <rPr>
        <sz val="11"/>
        <rFont val="Arial"/>
        <family val="2"/>
      </rPr>
      <t>0</t>
    </r>
  </si>
  <si>
    <t>Evolución del gasto por unidad de valor relativo producida</t>
  </si>
  <si>
    <r>
      <rPr>
        <sz val="11"/>
        <rFont val="Calibri"/>
        <family val="2"/>
      </rPr>
      <t>≥</t>
    </r>
    <r>
      <rPr>
        <sz val="11"/>
        <rFont val="Arial"/>
        <family val="2"/>
      </rPr>
      <t>0,97</t>
    </r>
  </si>
  <si>
    <t>Deuda menor a 30 días por concepto de salarios a personal</t>
  </si>
  <si>
    <t>Equilibrio presupuestal con recaudo</t>
  </si>
  <si>
    <t>≥1,16</t>
  </si>
  <si>
    <t>Radicación oportuna de facturas.</t>
  </si>
  <si>
    <t>Rotación de cartera en número de días posterior al reconocimiento de la deuda.</t>
  </si>
  <si>
    <t>69.7 días</t>
  </si>
  <si>
    <t xml:space="preserve">69.7 </t>
  </si>
  <si>
    <t>Respuesta oportuna de glosa inicial de servicios</t>
  </si>
  <si>
    <t>Variación de la facturación semestral.</t>
  </si>
  <si>
    <t xml:space="preserve">Modelo de costos empresarial TDABC </t>
  </si>
  <si>
    <t xml:space="preserve">Costear productos ofertados en la institución </t>
  </si>
  <si>
    <t>Equilibrio presupuestal con reconocimiento</t>
  </si>
  <si>
    <t>≥1,3</t>
  </si>
  <si>
    <t>Equilibrio presupuestal con reconocimiento (Sin CXC y CXP)</t>
  </si>
  <si>
    <t xml:space="preserve">Ejecución presupuestal </t>
  </si>
  <si>
    <t>2.2.  Administración con calidad, transparencia y eficiencia para todos</t>
  </si>
  <si>
    <t>Proporción de medicamentos y material médico quirúrgico adquiridos mediante compras conjuntas, cooperativas de empresas sociales del estado y/o de mecanismos electrónicos</t>
  </si>
  <si>
    <t>Cumplimiento del plan anual de adquisiciones</t>
  </si>
  <si>
    <t>&gt;80%</t>
  </si>
  <si>
    <t>≥5%</t>
  </si>
  <si>
    <t xml:space="preserve">Plan del mantenimiento hospitalario integral aprobado </t>
  </si>
  <si>
    <t>Actualización del manual de contratación</t>
  </si>
  <si>
    <t xml:space="preserve">Cumplimiento de los planes de mejoramiento. </t>
  </si>
  <si>
    <t>Contratación y ordenes de compras, evaluadas por comité de contratación.</t>
  </si>
  <si>
    <t xml:space="preserve">Mantener las compra de medicamentos y material médico quirúrgico a través de plataformas </t>
  </si>
  <si>
    <t>Oportunidad en el reporte de los informes obligatorios a la Supersalud</t>
  </si>
  <si>
    <t>Oportunidad en el reporte de los informes obligatorios e la Resolución 2193 de 2004</t>
  </si>
  <si>
    <t xml:space="preserve">Seguimiento a la ejecución de los recursos de los proyectos aprobados.  </t>
  </si>
  <si>
    <t>3. LÍNEA</t>
  </si>
  <si>
    <t>3. GESTIÓN ASISTENCIAL HUMANIZADA Y EQUITATIVA</t>
  </si>
  <si>
    <t>3.1. Hospital Líder en la atención de las patologías con mayor impacto en la salud pública, comprometidos con la excelencia en la atención</t>
  </si>
  <si>
    <t>Servicios nuevos habilitados</t>
  </si>
  <si>
    <t xml:space="preserve">Proporción de Adopción y socialización de las principales Guías de manejo médico </t>
  </si>
  <si>
    <t xml:space="preserve">Oportunidad de los indicadores clínicos asistenciales priorizados en el plan de gestión. </t>
  </si>
  <si>
    <t xml:space="preserve">Cumplimiento de proyectos especiales </t>
  </si>
  <si>
    <t>Servicio de hemofilia habilitando y funcionando</t>
  </si>
  <si>
    <t>Servicio de hemodiálisis habilitando y funcionando</t>
  </si>
  <si>
    <t>Servicio de cirugía oncológica habilitado y funcionando</t>
  </si>
  <si>
    <t>Servicio de reumatología habilitado y funcionando</t>
  </si>
  <si>
    <t>Evaluación de aplicación de guía de manejo de la primera causa de egreso hospitalario o de morbilidad atendida</t>
  </si>
  <si>
    <t xml:space="preserve">Índice de infecciones intrahospitalarias </t>
  </si>
  <si>
    <t>1.4%</t>
  </si>
  <si>
    <t>Tiempo promedio de espera para la asignación de citas de medicina interna</t>
  </si>
  <si>
    <t>9.57 días</t>
  </si>
  <si>
    <t>Tiempo promedio de espera para la asignación de citas de cirugía</t>
  </si>
  <si>
    <t>10 días</t>
  </si>
  <si>
    <t>Tiempo promedio de espera para la asignación de citas de Urología</t>
  </si>
  <si>
    <t>12 días</t>
  </si>
  <si>
    <t>Tiempo promedio de espera para la asignación de citas de ortopedia</t>
  </si>
  <si>
    <t>15 días</t>
  </si>
  <si>
    <t xml:space="preserve">Tiempo promedio de espera para la atención del paciente clasificado como Triage II </t>
  </si>
  <si>
    <t>21 minutos</t>
  </si>
  <si>
    <t xml:space="preserve">Oportunidad en la entrega de resultados a Hospitalización </t>
  </si>
  <si>
    <t>Oportunidad en la realización de apendicetomía</t>
  </si>
  <si>
    <t>Oportunidad en la atención específica de pacientes con diagnostico al egreso de infarto Agudo de miocardio (IAM</t>
  </si>
  <si>
    <t xml:space="preserve">Cumplimiento de los planes de mejora derivados de los análisis de eventos </t>
  </si>
  <si>
    <t xml:space="preserve">Pruebas rápidas de VIH realizadas a la población objeto </t>
  </si>
  <si>
    <t>3.2. Integración y alianzas para el mejoramiento en la accesibilidad y en la oportunidad en los servicios.</t>
  </si>
  <si>
    <t>Aumento en el numero de pacientes referidos por la red.</t>
  </si>
  <si>
    <t>&gt;5%</t>
  </si>
  <si>
    <t>Aumento en la accesibilidad a los servicios de consulta externa por la apertura de servicios en modalidad telesalud</t>
  </si>
  <si>
    <t xml:space="preserve">Tiempos de respuesta en los procesos de referencia. </t>
  </si>
  <si>
    <t>5 días</t>
  </si>
  <si>
    <t>4. LÍNEA</t>
  </si>
  <si>
    <t>4. ENFOQUE DE SERVICIOS POR LA VIDA</t>
  </si>
  <si>
    <t>4.1. Modelo de atención integral centrado en el trato digno.</t>
  </si>
  <si>
    <t>Formulación del modelo de atención</t>
  </si>
  <si>
    <t>4.2. Memoria institucional.</t>
  </si>
  <si>
    <t>&gt;70%</t>
  </si>
  <si>
    <t>4.3. Tecnología biomédica segura para la vida.</t>
  </si>
  <si>
    <t>&gt;90%</t>
  </si>
  <si>
    <t>&lt;3%</t>
  </si>
  <si>
    <t>8 días</t>
  </si>
  <si>
    <t>Cumplimiento de cronograma de calibración de equipos biomédicos. (miden, cuentan y pesan)</t>
  </si>
  <si>
    <t xml:space="preserve">4.4. Tecnología segura para el desarrollo de la ESE </t>
  </si>
  <si>
    <t>Índice de satisfacción del cliente interno con
relación a las plataformas y herramientas digitales</t>
  </si>
  <si>
    <t>Índice de satisfacción del cliente externo en
relación a la experiencia digital corporativa</t>
  </si>
  <si>
    <t>&gt;75%</t>
  </si>
  <si>
    <t>Software para el sistema de inducción ESE Hospital La María</t>
  </si>
  <si>
    <t>Plataforma de inducción y gestión del conocimiento en funcionamiento</t>
  </si>
  <si>
    <t>DATACENTER con Dotación Tecnológica</t>
  </si>
  <si>
    <t>Plan de mantenimientos</t>
  </si>
  <si>
    <t>5. LÍNEA</t>
  </si>
  <si>
    <t>5. COMPAÑÍA, AMOR Y HUMANIZACIÓN AL SERVICIO DE TODOS</t>
  </si>
  <si>
    <t>5.1. Comunicación para el cambio y desarrollo social</t>
  </si>
  <si>
    <t>Índice de variación de la percepción positiva de la imagen y marca de la ESE Hospital La
María</t>
  </si>
  <si>
    <t>≥1</t>
  </si>
  <si>
    <t>Implementación de medios de comunicación que permitan la inclusión de la población vulnerable.</t>
  </si>
  <si>
    <t>Desarrollo de un canal de comunicación interna que permita la interacción inmediata de los colaboradores de la E.S.E.</t>
  </si>
  <si>
    <t>Plan de marketing digital elaborado y aprobado</t>
  </si>
  <si>
    <t>Análisis de canales de distribución para los segmentos de clientes específicos.</t>
  </si>
  <si>
    <t>Implementar estrategias de acompañamiento para la formación en la comunicación a personas con discapacidad.</t>
  </si>
  <si>
    <t>5.2.  Atención y cuidado al usuario.</t>
  </si>
  <si>
    <t>Satisfacción del Usuario Externo.</t>
  </si>
  <si>
    <t>Respuesta oportuna de las PQRSD de los
usuarios</t>
  </si>
  <si>
    <t>Ejecución del Plan de la Política de Participación:</t>
  </si>
  <si>
    <t>Gestión y respuesta de PQRSD</t>
  </si>
  <si>
    <t>6. LÍNEA</t>
  </si>
  <si>
    <t>6. INNOVACIÓN, CIENCIA E INVESTIGACIÓN PARA LA VIDA</t>
  </si>
  <si>
    <t>6.1. Investigación con sentido de vida y responsabilidad social</t>
  </si>
  <si>
    <t>Suscripción de Convenios de Cooperación para la investigación</t>
  </si>
  <si>
    <t>Publicación de artículos en revistas indexadas</t>
  </si>
  <si>
    <t>6.2. Investigación para la formación de competencias y desarrollo profesional en salud.</t>
  </si>
  <si>
    <t>Avances en el proceso de acreditación</t>
  </si>
  <si>
    <t>Ejecutar las oportunidades de mejora en cada ciclo</t>
  </si>
  <si>
    <t>7. LÍNEA</t>
  </si>
  <si>
    <t>7. MEDIO AMBIENTE SANO Y SEGURO, DEJANDO HUELLA PARA LA VIDA</t>
  </si>
  <si>
    <t xml:space="preserve">7.1. Alineación ecológica con responsabilidad social. </t>
  </si>
  <si>
    <t>Actualización del Plan de Gestión de Residuos Generados en la atención de servicios de Salud y otras actividades PGIRASA</t>
  </si>
  <si>
    <t>Formular el PLAN – Movilidad Empresarial Sostenible (MES)</t>
  </si>
  <si>
    <t>Plan de Mantenimiento ambiental y del componente arbóreo</t>
  </si>
  <si>
    <t>8. LÍNEA</t>
  </si>
  <si>
    <t>8. GESTIÓN INTEGRAL DEL TALENTO HUMANO QUE TRABAJA CON AMOR POR LA VIDA</t>
  </si>
  <si>
    <t>8.1.  Ingreso y desarrollo del talento humano.</t>
  </si>
  <si>
    <t>Conocimiento logrado con la inducción</t>
  </si>
  <si>
    <t>Conocimiento logrado con la reinducción</t>
  </si>
  <si>
    <t>8.2. Desarrollo del talento humano</t>
  </si>
  <si>
    <t>Índice de satisfacción del cliente interno</t>
  </si>
  <si>
    <t xml:space="preserve">Cumplimiento con el Plan de Bienestar Social </t>
  </si>
  <si>
    <t>Cumplimiento con el Plan de Estímulos e Incentivos</t>
  </si>
  <si>
    <t>Cumplimiento con el Plan de Evaluación de Desempeño</t>
  </si>
  <si>
    <t>8.3. Retiro del talento humano</t>
  </si>
  <si>
    <t>Variación de la deserción del personal de apoyo administrativo y misional</t>
  </si>
  <si>
    <t>Satisfacción del empleado jubilado y su familia</t>
  </si>
  <si>
    <t>Formulación de la Política de Gestión del
Conocimiento</t>
  </si>
  <si>
    <t>FORMA DE MEDICIÓN</t>
  </si>
  <si>
    <t xml:space="preserve">PROMEDIO </t>
  </si>
  <si>
    <t>% DE CUMPLIMIENTO</t>
  </si>
  <si>
    <t>SEGUIMIENTO DEL PLAN OPERATIVO ANUAL DE INVERSIONES</t>
  </si>
  <si>
    <t>ESE HOSPITAL LAMARÍA</t>
  </si>
  <si>
    <t>Cantidad Programada Año 2021</t>
  </si>
  <si>
    <t>Meta de la Vigencia 2021</t>
  </si>
  <si>
    <t>EVIDENCIAS O INFORMES QUE SOPORTEN LA REALIZACIÓN DE LAS ACTIVIDADES</t>
  </si>
  <si>
    <t>Realizar cronograma o plan de trabajo para la el ajuste o actualización del manual</t>
  </si>
  <si>
    <t>1010200-1</t>
  </si>
  <si>
    <t xml:space="preserve">Realizar el estudio de la estrutura presentada y aprobada en junta directiva </t>
  </si>
  <si>
    <t>Presentar ante la asamblea el estudio  estrutura organizacional para su aprobación</t>
  </si>
  <si>
    <t xml:space="preserve">Realizar los analisis de unidades de mercado de negocio de la ESE </t>
  </si>
  <si>
    <t>TOTAL COMPONENTE</t>
  </si>
  <si>
    <t>Sistema de Gestión de la Calidad</t>
  </si>
  <si>
    <t xml:space="preserve">Jornadas de socialización y sensibilziación de los procesos documentados </t>
  </si>
  <si>
    <t>NORALBA,  FALTA NATALIA Y LA OTRA CONTRATISTA</t>
  </si>
  <si>
    <t xml:space="preserve">Definición de los indicadores de los procesos </t>
  </si>
  <si>
    <t xml:space="preserve">Verificación del cumplimiento de las acciones de mejora de proceso </t>
  </si>
  <si>
    <t>Formulación de la política de
administración del riesgo</t>
  </si>
  <si>
    <t>Numeo</t>
  </si>
  <si>
    <t xml:space="preserve">Formulación de la poltica de administración del riesgo  y adopción mediante resolución </t>
  </si>
  <si>
    <t xml:space="preserve">Documentación de procesos , según el mapa de procesos </t>
  </si>
  <si>
    <t>NUMERO</t>
  </si>
  <si>
    <t>Realizar la socialización del Plan de Desarrollo a las diferentes áreas y profesionales de la Institución.</t>
  </si>
  <si>
    <t>YESID FRANK QUIROZ VARELA- FALTA  CLAUDIA AVENDAÑO</t>
  </si>
  <si>
    <t>Hacer publicaciones en la pagina y la intranet del hospital el PDI</t>
  </si>
  <si>
    <t>Realizar mensulamente el seguimiento de la metas propuestas en el plan</t>
  </si>
  <si>
    <t>Presentar en el comité directivo los avances de la ejecución de las metas propuesta en el plan.</t>
  </si>
  <si>
    <t>SEGUIMIENTO FÍSICO  PLAN OPERATIVO ANUAL DE INVERSIONES DEL COMPONENTE  1</t>
  </si>
  <si>
    <t>UNIDAD DE MEDIDA</t>
  </si>
  <si>
    <t>TOTAL ACTIVIDADES PLANEADAS</t>
  </si>
  <si>
    <t>TOTAL ACTIVIDADES EJECUATDAS 1 TRIMESTRE</t>
  </si>
  <si>
    <t>TOTAL ACTIVIDADES EJECUATDAS 2 TRIMESTRE</t>
  </si>
  <si>
    <t>TOTAL ACTIVIDADES EJECUATDAS 3 TRIMESTRE</t>
  </si>
  <si>
    <t>TOTAL ACTIVIDADES EJECUATDAS 4 TRIMESTRE</t>
  </si>
  <si>
    <t xml:space="preserve">Número </t>
  </si>
  <si>
    <t>SEGUIMIENTO FINACIERO DEL PLAN OPERATIVO ANUAL DE INVERSIONES DELCOMPONENTE  1</t>
  </si>
  <si>
    <t xml:space="preserve">RECURSOS EJECUTADOS 1 TRIMESTRE </t>
  </si>
  <si>
    <t xml:space="preserve">RECURSOS EJECUTADOS 2 TRIMESTRE </t>
  </si>
  <si>
    <t xml:space="preserve">RECURSOS EJECUTADOS 3 TRIMESTRE </t>
  </si>
  <si>
    <t xml:space="preserve">RECURSOS EJECUTADOS 4 TRIMESTRE </t>
  </si>
  <si>
    <t>SEGUIMIENTO FÍSICO  PLAN OPERATIVO ANUAL DE INVERSIONES DEL COMPONENTE 2</t>
  </si>
  <si>
    <t>SEGUIMIENTO FINACIERO DEL PLAN OPERATIVO ANUAL DE INVERSIONES DEL COMPONENTE 2</t>
  </si>
  <si>
    <t>SEGUIMIENTO FÍSICO  PLAN OPERATIVO ANUAL DE INVERSIONES DEL COMPONENTE 3</t>
  </si>
  <si>
    <t>SEGUIMIENTO FINACIERO DEL PLAN OPERATIVO ANUAL DE INVERSIONES  DEL COMPONENTE 3</t>
  </si>
  <si>
    <t>SEGUIMIENTO FÍSICO  PLAN OPERATIVO ANUAL DE INVERSIONES DE LA LINEA 1</t>
  </si>
  <si>
    <t>OBEJTIVO  DE LA LINEA: Gestionar el equilibrio y la sostenibilidad financiera, mediante el análisis permanente del comportamiento administrativo, contable y financiero, que provea la información necesaria para la toma de decisiones.</t>
  </si>
  <si>
    <t>Modificaciones (Adicion, Reduccion)</t>
  </si>
  <si>
    <t xml:space="preserve">1010200-1  1010100  </t>
  </si>
  <si>
    <t>LILIANA RICAURTE, COSTOS, CONTABILIDAD, GLOSAS, FACTURACIÓN</t>
  </si>
  <si>
    <t xml:space="preserve">Entrega oportuna y efetiva de turnos de enfermeria y farmacia </t>
  </si>
  <si>
    <t xml:space="preserve">Realizar seguimiento con visitas a los contratantes </t>
  </si>
  <si>
    <t>Circularizacion de la cartera con todas las entidades responsables de pago</t>
  </si>
  <si>
    <t xml:space="preserve">Registro diario de la recepcion de las glosas </t>
  </si>
  <si>
    <t xml:space="preserve">Radicacion de las respuestas de glosas </t>
  </si>
  <si>
    <t>Auditoria de los egresos sin facturar</t>
  </si>
  <si>
    <t xml:space="preserve">Gestion de la consecucion  de las causales de la glosa </t>
  </si>
  <si>
    <t>creacion y monitoreo de centros de costos</t>
  </si>
  <si>
    <t xml:space="preserve">Generar los informes mensuales  de cada centro de costos,  </t>
  </si>
  <si>
    <t xml:space="preserve">Realizar analisis de facturacion Vs gastos de manera mensual </t>
  </si>
  <si>
    <t xml:space="preserve">realizar control a la totalidad de los requisitos exigidos para proceser al pago </t>
  </si>
  <si>
    <t>Analizar mensual el comportamiento presupuestal y presentacion de informe</t>
  </si>
  <si>
    <t xml:space="preserve">Elaborar conciliaciones de la informacion entre las diferentes areas que confluyen a contabilidad. </t>
  </si>
  <si>
    <t>convocar el comité de cotración para la socialización de la actualización del del Manual de contratación.</t>
  </si>
  <si>
    <t>Componente 2: Administración con calidad, transparencia y eficiencia para todos</t>
  </si>
  <si>
    <t>Tecnologías optimas y seguras para el buen funcionamiento de la E.S.E.</t>
  </si>
  <si>
    <t>Realizar la actualización del manual de contratación de la ESE Hospital La Maria.</t>
  </si>
  <si>
    <t>1010200-1         1010200-4</t>
  </si>
  <si>
    <t>SUBGERENCIA, JURIDICA, MANTEMIENTO HOSPITALARIO, CONSTRUCCIÓN DE LAS TORRES MEDICA Y ADMINISTRATIVA, COMPRA DE MEDICAMENTOS E INSUMOS , SERVICIOS GENERALES, ALIMENTACIÓN</t>
  </si>
  <si>
    <t>Realizar informe de las ordenes evaluadas en cada comité de contratación</t>
  </si>
  <si>
    <t>1010200-1         1010200-4      3300100</t>
  </si>
  <si>
    <t>servicios de mensajeria, alimentación, lavanderia, vigilancia,combustible, aseo y otras actividades prioritarias para la ESE</t>
  </si>
  <si>
    <t>4100200-1 --1010200-1 -2010200-7 - 2010200-7-2010200-4-2020202-6</t>
  </si>
  <si>
    <t>SERVICIOS PUBLICOS</t>
  </si>
  <si>
    <t>2010200-3</t>
  </si>
  <si>
    <t>RECURSO HUMANO ADMINISTRATIVO</t>
  </si>
  <si>
    <t>Realizar el seguimiento del cumplimientos de los planes de mejoramiento existentes en la institución.</t>
  </si>
  <si>
    <t>1010200-41 -1010200-1-2010200-12-1010200-1</t>
  </si>
  <si>
    <t>Realizar cronograma de mantenimiento hospitalario acorde conn lo establecido en el Plan</t>
  </si>
  <si>
    <t xml:space="preserve">Verificar el cumplimientodel cronograma del plan de matenimiento </t>
  </si>
  <si>
    <t>2020201 -1010200-1</t>
  </si>
  <si>
    <t>PAGO VIGENCIAS ANTERIORES</t>
  </si>
  <si>
    <t>Verificar el cumplimiento de los informes requeridos a la supersalud en los tiempos establecidos(informes,pantallazos del cargue)</t>
  </si>
  <si>
    <t>Verificar el cumplimiento de los informes  de la resolución 2193 de 2004, en los tiempos establecidos(informes,pantallazos del cargue)</t>
  </si>
  <si>
    <t>Realizar informes y presentarlos a la junta directiva y al gerente de la ejecución de los proyectos</t>
  </si>
  <si>
    <t>construccion, remodelacion y adecuacion</t>
  </si>
  <si>
    <t xml:space="preserve">OBEJTIVO  DE LA LINEA:prestar servicios de salud de alta y mediana complejidad; mediante una atención segura, humanizada y con calidad, a través de una gestión transparente y adecuada de los recursos; enfocándose en el mejoramiento continuo, la satisfacción del usuario, la familia y la comunidad </t>
  </si>
  <si>
    <t>SEGUIMIENTO PLAN OPERATIVO ANUAL INVERSIONES</t>
  </si>
  <si>
    <t>Servicios nuevos
habilitados</t>
  </si>
  <si>
    <t>Apertura de servicios de alta complejidad en respuesta a las necesidades de la comunidad
y a los hallazgos más representativos del perfil epidemiológico actual</t>
  </si>
  <si>
    <t>Servicio de hemodiálisis
habilitado y funcionando</t>
  </si>
  <si>
    <t>VIGENCIAS ANTERIORES RECURSO HUMANO ASISTENCIAL</t>
  </si>
  <si>
    <t>Fortalecer los servicios ofertados y habilitados</t>
  </si>
  <si>
    <t xml:space="preserve">realizar guias y protocolos de atencion de hemodialis </t>
  </si>
  <si>
    <t>8002100-2</t>
  </si>
  <si>
    <t>COORDINADOR MEDICO, ESPECIALISTAS, ASOCIACIÓN SINDICAL, ENFERMEREAS Y MEDICOS DE PLANTA, PROYECTOS ESPECIALES, LABORATORIO CIRUGIA</t>
  </si>
  <si>
    <t xml:space="preserve">tener recurso humano entrenado </t>
  </si>
  <si>
    <t xml:space="preserve">evaluacion de capacitaciones </t>
  </si>
  <si>
    <t xml:space="preserve">porcentaje </t>
  </si>
  <si>
    <t xml:space="preserve">realizar guias y protocolos de atencion de hemofilia </t>
  </si>
  <si>
    <t>1020200-1-1020200-4</t>
  </si>
  <si>
    <t xml:space="preserve">realizar contratacion con eps para el programa de hemofilia </t>
  </si>
  <si>
    <t xml:space="preserve">contratar personal idoneo </t>
  </si>
  <si>
    <t xml:space="preserve">realizar contratacion con eps para el programa de cirugia oncologica </t>
  </si>
  <si>
    <t xml:space="preserve">realizar guias y protocolos de atencion de cirugia oncologica </t>
  </si>
  <si>
    <t>contar con infraestructura adecuada para prestacion del servicio</t>
  </si>
  <si>
    <t>Servicio de reumatología
habilitado y funcionando</t>
  </si>
  <si>
    <t xml:space="preserve">realizar contratacion con eps para el programa de reumatologia </t>
  </si>
  <si>
    <t xml:space="preserve">realizar guias y protocolos de atencion de reumatologia </t>
  </si>
  <si>
    <t>Evaluación de aplicación de
guía de manejode la primera
causa de egreso hospitalario o de
morbilidad atendida</t>
  </si>
  <si>
    <t>Contratación de recurso humano asistencial (personal médico, enfermeras, especialistas)</t>
  </si>
  <si>
    <t xml:space="preserve">evaluacion trimestral de adherencia guias según formato de de aherencia historia clinica </t>
  </si>
  <si>
    <t xml:space="preserve">crear formato de adherencia a historia clinica </t>
  </si>
  <si>
    <t xml:space="preserve">contratacion 40 horas semanales medicina interna adicionales a las que se tenian </t>
  </si>
  <si>
    <t xml:space="preserve">evaluacion de oportunidad medicina interna mensual </t>
  </si>
  <si>
    <t>ampliacion capacidad en 2 consultorios</t>
  </si>
  <si>
    <t xml:space="preserve">aumento 30 horas consulta cirugia general </t>
  </si>
  <si>
    <t xml:space="preserve">evaluacion oportunidad asignacion citas valoracion mensaul </t>
  </si>
  <si>
    <t xml:space="preserve">disponibilidad de 1 consultorio cada dia </t>
  </si>
  <si>
    <t xml:space="preserve">ampliacion 8 horas semanales consulta urologia </t>
  </si>
  <si>
    <t>uno</t>
  </si>
  <si>
    <t xml:space="preserve">aumnetar 16 horas semanalas consulta ortopedia </t>
  </si>
  <si>
    <t xml:space="preserve">valoracion indicador de oportunidad mensual </t>
  </si>
  <si>
    <t xml:space="preserve">asignacion medico para paciente critico </t>
  </si>
  <si>
    <t xml:space="preserve">evaluacion indicador de oportunidad atencion triage II mensual </t>
  </si>
  <si>
    <t>capacitacion personal en tecnica ESI semestral</t>
  </si>
  <si>
    <t>Oportunidad en la entrega de
resultados de laboratorio al
Servicio de Urgencias</t>
  </si>
  <si>
    <t xml:space="preserve">asignacion camillero para laboratorio 40 horas a la semana </t>
  </si>
  <si>
    <t>cambio de sofware laboratorio</t>
  </si>
  <si>
    <t>evaluacion indicador de oportunidad mensual</t>
  </si>
  <si>
    <t xml:space="preserve">aumento 30 horas cirugia general a la semana  </t>
  </si>
  <si>
    <t xml:space="preserve">aumento capacidfad instalada en dos quirofanos </t>
  </si>
  <si>
    <t xml:space="preserve">evaluacion mensual de indicador de apendicectomia </t>
  </si>
  <si>
    <t xml:space="preserve">evaluacion mensual de indicador de mortalidad intrahospitalaria </t>
  </si>
  <si>
    <t>analisis mensual en comité COVE</t>
  </si>
  <si>
    <t>evaluacion del indicador de infeccion intrahospitalaria mensual</t>
  </si>
  <si>
    <r>
      <t xml:space="preserve">Realizar </t>
    </r>
    <r>
      <rPr>
        <b/>
        <sz val="11"/>
        <color theme="1"/>
        <rFont val="Arial"/>
        <family val="2"/>
      </rPr>
      <t>Pruebas Rápidas</t>
    </r>
    <r>
      <rPr>
        <sz val="11"/>
        <color theme="1"/>
        <rFont val="Arial"/>
        <family val="2"/>
      </rPr>
      <t xml:space="preserve"> de VIH a la población HSH, TRANS y TS</t>
    </r>
  </si>
  <si>
    <t>Numero de Pruebas</t>
  </si>
  <si>
    <t>8002100-4</t>
  </si>
  <si>
    <r>
      <t xml:space="preserve">Realizar </t>
    </r>
    <r>
      <rPr>
        <b/>
        <sz val="11"/>
        <color theme="1"/>
        <rFont val="Arial"/>
        <family val="2"/>
      </rPr>
      <t>Pruebas Rápidas</t>
    </r>
    <r>
      <rPr>
        <sz val="11"/>
        <color theme="1"/>
        <rFont val="Arial"/>
        <family val="2"/>
      </rPr>
      <t xml:space="preserve"> de VIH a la población PID</t>
    </r>
  </si>
  <si>
    <r>
      <t xml:space="preserve">Hacer la entrega de </t>
    </r>
    <r>
      <rPr>
        <b/>
        <sz val="11"/>
        <color theme="1"/>
        <rFont val="Arial"/>
        <family val="2"/>
      </rPr>
      <t>Paquetes de Prevención</t>
    </r>
    <r>
      <rPr>
        <sz val="11"/>
        <color theme="1"/>
        <rFont val="Arial"/>
        <family val="2"/>
      </rPr>
      <t xml:space="preserve"> de ETS a la población HSH, TRANS y TS</t>
    </r>
  </si>
  <si>
    <t>Número de Paquetes</t>
  </si>
  <si>
    <r>
      <t xml:space="preserve">Hacer la entrega de </t>
    </r>
    <r>
      <rPr>
        <b/>
        <sz val="11"/>
        <color theme="1"/>
        <rFont val="Arial"/>
        <family val="2"/>
      </rPr>
      <t>KITS de Inyección</t>
    </r>
    <r>
      <rPr>
        <sz val="11"/>
        <color theme="1"/>
        <rFont val="Arial"/>
        <family val="2"/>
      </rPr>
      <t xml:space="preserve"> a la población PID</t>
    </r>
  </si>
  <si>
    <t>NUMERO de KITS de Inyección</t>
  </si>
  <si>
    <t>Programa Especial INPEC
Realizar la gestión  de contratos de proyectos especiales (INPEC)</t>
  </si>
  <si>
    <t>8002100-5</t>
  </si>
  <si>
    <t>Asesora de proyectos especiales</t>
  </si>
  <si>
    <t>GESTION INTEGRAL DEL RIESGO, ENFERMEDADES DE TRANSMISION SEXUAL, EMBARAZO EN ADOLESCENTES Y VIOLENCIAS SEXUALES</t>
  </si>
  <si>
    <t>8002100-8</t>
  </si>
  <si>
    <t>PROGRAMA ESPECIAL TB Y LEPRA</t>
  </si>
  <si>
    <t>8002100-3</t>
  </si>
  <si>
    <t>Realizar la gestión  de contratos de proyectos especiales
Programa Especial VIH-SAVIA</t>
  </si>
  <si>
    <t>8002100-7</t>
  </si>
  <si>
    <t xml:space="preserve">aumentar en numero de contratos con la EPS del departamneto en 25 % al año </t>
  </si>
  <si>
    <t xml:space="preserve">implementacion sofware centro regulador </t>
  </si>
  <si>
    <t xml:space="preserve">ampliacion portafoliode servicio en dos nuevas especialidades </t>
  </si>
  <si>
    <t xml:space="preserve">implementar programa teleconsulta al menos una especialidad </t>
  </si>
  <si>
    <t xml:space="preserve">union temporal estrategica para realizar telesalud </t>
  </si>
  <si>
    <t>JEFE MARTHA Y LA PERSONA QUE TRABAJE TELESALUD</t>
  </si>
  <si>
    <t>realizar gestion con la EPS  AIC para contratacion</t>
  </si>
  <si>
    <t xml:space="preserve">realizar analisis de pacientes comentados a la ESE </t>
  </si>
  <si>
    <t xml:space="preserve">implementar sofware centro regular  , pacientes recibidos en plataforma </t>
  </si>
  <si>
    <t>aumentra personal apoyo centro regulador 120 horas semana</t>
  </si>
  <si>
    <t>OBEJTIVO  DE LA LINEA:Enfocar el proceso de atención de la E.S.E en el trato digno de las personas, con altos estándares de calidad y valor científico.</t>
  </si>
  <si>
    <t>Realizar el documento de atención de la ESE Hospital La María</t>
  </si>
  <si>
    <t>Organización documental</t>
  </si>
  <si>
    <t>1010200-4     1010200-1           1010100</t>
  </si>
  <si>
    <t xml:space="preserve">Eliminación de documentos que cumplieronn el tiempo de custodia </t>
  </si>
  <si>
    <t>SANDRA Y SUS FUNCIONARIOS DE APOYO</t>
  </si>
  <si>
    <t>Capacitaciones al personal en: Reglamento Interno de Archivo- Archivos de Gestión- Ventanilla Unica</t>
  </si>
  <si>
    <t>Realizar el diagnóstico de tecnologia de equipos biomédicos paratiendo de la matriz de evaluacion tecnológica.</t>
  </si>
  <si>
    <t>1010200-1        2020101</t>
  </si>
  <si>
    <t xml:space="preserve">Realizar estudio de mercado de tecnologia biomedica para la adquisición. </t>
  </si>
  <si>
    <t>2020102-1</t>
  </si>
  <si>
    <t xml:space="preserve">Mantenimiento preventivo equipos biomedicos </t>
  </si>
  <si>
    <t xml:space="preserve">Control de tiempos de ejecucion de mantenimiento correctivo </t>
  </si>
  <si>
    <t>dias</t>
  </si>
  <si>
    <t xml:space="preserve">Calibracion de equipos biomedicos </t>
  </si>
  <si>
    <t>adquirir equipos de computo con tecnologia moderna que aporte al desarrollo del hospital</t>
  </si>
  <si>
    <t>2010100-1</t>
  </si>
  <si>
    <t xml:space="preserve">Adquirir  software de inducción </t>
  </si>
  <si>
    <t>2010200-12</t>
  </si>
  <si>
    <t xml:space="preserve"> Implementar una aplicativo para el apoyo en la gestión del conocimento de la ESE Hospital La María</t>
  </si>
  <si>
    <t>Mantenimiento preventivo equipos de computo</t>
  </si>
  <si>
    <t>2010200-12  1020200-1</t>
  </si>
  <si>
    <t>Seguimiento y control a las aplicaciones que se encuentran instladas en los equipos de computo de la ESE Hospital la María</t>
  </si>
  <si>
    <t>Adquisicion de equipos provistos para un DATACENTER</t>
  </si>
  <si>
    <t>2010200-6</t>
  </si>
  <si>
    <t>SEGUIMIENTO FÍSICO  PLAN OPERATIVO ANUAL DE INVERSIONES DEL COMPONENTE 4</t>
  </si>
  <si>
    <t>SEGUIMIENTO FINACIERO DEL PLAN OPERATIVO ANUAL DE INVERSIONES  DEL COMPONENTE 4</t>
  </si>
  <si>
    <t>SEGUIMIENTO FÍSICO  PLAN OPERATIVO ANUAL DE INVERSIONES DE LA LINEA 4</t>
  </si>
  <si>
    <t>Día</t>
  </si>
  <si>
    <t>SEGUIMIENTO FINACIERO DEL PLAN OPERATIVO ANUAL DE INVERSIONES  DE LA LINEA 4</t>
  </si>
  <si>
    <t>OBEJTIVO  DE LA LINEA:Generar una oportuna respuesta a las problemáticas, necesidades, oportunidades, limitaciones y debilidades, que afectan a la comunidad, con el propósito de dar cumplimiento al marco legal vigente en derechos humanos y participación social en salud</t>
  </si>
  <si>
    <t>1.Realizar capacitaciones al personal asistencial enfocadas en la atención con enfoque diferencial. (lenguaje de señas, personas en condiciones de discapacidad, población indígena, etc.)</t>
  </si>
  <si>
    <t xml:space="preserve"> Por medio de los canales institucionales (redes sociales, carteleras, descansa pantallas) sencibilizar o distribuir piezas gráficas información sobre la atención con enfoque diferencial. </t>
  </si>
  <si>
    <t>Socialización de la carta del trato digno y derechos y deberes de los usuarios a los empleados de la E.S.E Hospital La María.</t>
  </si>
  <si>
    <t xml:space="preserve">Realizar piezas gráficas que sencibilicen al personal y comunidad en general sobre el trato digno a la población vulnerable que serán difundidas por los diferentes medios de comunicación institucionales. </t>
  </si>
  <si>
    <t>1010200-1   1010000</t>
  </si>
  <si>
    <t>Creación de un canal de YouTube enfocado en las experiencias de vida de población: invidentes, en condiciones de discapacidad, víctimas de conflicto, etc.)</t>
  </si>
  <si>
    <t>. Creación de un boletín interno, el cual tendrá noticias destacadas de lo que pasa en la institución. Este será difundido por los correos electrónicos y grupos de WhasApp.</t>
  </si>
  <si>
    <t>Realizar unn informe del analisis de los canales  de distribución de los segmentos de clientes especificos</t>
  </si>
  <si>
    <t>2010200-4   1010000</t>
  </si>
  <si>
    <t xml:space="preserve">Enfoque diferenciador como un hospital en funcionamiento al bienestar de la población vulnerable de Antioquia (Discapacidad visual y auditiva)
</t>
  </si>
  <si>
    <t>Ser incluyentes en temas de participación, acceso a la salud y trato digno.</t>
  </si>
  <si>
    <t>Realizar capacitaciones al personal asistencial enfocadas en la atención con enfoque diferencial. (lenguaje de señas, personas en condiciones de discapacidad, población indígena, etc.)</t>
  </si>
  <si>
    <t>Realizar talleres sobre temas de enfoque diferencial, acceso a la salud y trato digno con algunos representantes de la comunidad.</t>
  </si>
  <si>
    <t>1010200-4</t>
  </si>
  <si>
    <t xml:space="preserve">. Brindar asesoría y orientación a los usuarios que tienen dificultades con el acceso a la salud. </t>
  </si>
  <si>
    <t>LUISA HOYOS Y SUS FUNCIONARIOS DE APOYO, Y CONTROL SOCIAL</t>
  </si>
  <si>
    <t xml:space="preserve">Brindar a los usuarios apoyo alimentario por medio del comedor comunitario que nos ofrecen algunos líderes de la comuna 5. </t>
  </si>
  <si>
    <t>Solicitar donaciones a empresas privadas de acuerdo a las necesidades requeridas de los usuaros, ya que la mayoría no cuenta con los recursos necesaros.</t>
  </si>
  <si>
    <t>Socializar con la comunidad el debido procedmiento que tiene una PQRSD dentro de la institución. (rondas educativas, piezas gráficas).</t>
  </si>
  <si>
    <t>Rendición de Cuentas</t>
  </si>
  <si>
    <t xml:space="preserve"> Realización y Socialización de rendición de cuentas.</t>
  </si>
  <si>
    <t xml:space="preserve">Acompañamiento a La Comunidad </t>
  </si>
  <si>
    <t xml:space="preserve"> Brindar asesoría y orenteción a los usuarios que tienen dificultades con el acceso a la salud.</t>
  </si>
  <si>
    <t>Realizar comités de ética en los cuales se encuentran algunos represenantes de la comunidad.</t>
  </si>
  <si>
    <t>Direccionamiento a Los Usuarios Frente a Temas De Salud</t>
  </si>
  <si>
    <t xml:space="preserve">Brindar asesoría y orentción a los usuarios que tienen dificultades con el acceso a la salud. </t>
  </si>
  <si>
    <t xml:space="preserve"> Medir la percepción de los usuarios frente al servicio prestado en los servicios de consulta externa y hospitalicación</t>
  </si>
  <si>
    <t>SEGUIMIENTO FÍSICO  PLAN OPERATIVO ANUAL DE INVERSIONES DE LA LINEA 5</t>
  </si>
  <si>
    <t>SEGUIMIENTO FINACIERO DEL PLAN OPERATIVO ANUAL DE INVERSIONES  LINEA 5</t>
  </si>
  <si>
    <t>OBEJTIVO  DE LA LINEA:Establecer los problemas en salud pública y contribuir con respuestas y medidas de intervención pertinente y costo efectivas de prevención de la enfermedad, promoción de la salud y control; con énfasis en nuestra población vulnerable. fortalecimiento contractual, en cumplimiento de nuestro objeto social,entrado en la seguridad del paciente y la satisfacción del usuario y su familia.</t>
  </si>
  <si>
    <t>2010200-2</t>
  </si>
  <si>
    <t>TOTALCOMPONENTE</t>
  </si>
  <si>
    <t>Realizar la autoevaluación de los estandares de acreditación - PAMEC</t>
  </si>
  <si>
    <t>Realizar plan de mejoramiento de acuerdo a las oportunidades de mejoras encontradas en la autoevaluación.</t>
  </si>
  <si>
    <t>SEGUIMIENTO FÍSICO  PLAN OPERATIVO ANUAL DE INVERSIONES DE LA LINEA 6</t>
  </si>
  <si>
    <t>SEGUIMIENTO FINACIERO DEL PLAN OPERATIVO ANUAL DE INVERSIONES  DELA LINEA 6</t>
  </si>
  <si>
    <t>Línea 7: Medio ambiente sano y seguro, dejando huella para la vida</t>
  </si>
  <si>
    <t>OBEJTIVO  DE LA LINEA:Fortalecer la planeación y gestión de seguridad y salud en el trabajo, medio ambiente e infraestructura, a través, del desarrollo de los componentes estratégicos, temáticos y medibles</t>
  </si>
  <si>
    <t>ADICIONES</t>
  </si>
  <si>
    <r>
      <t xml:space="preserve">Componente 1: </t>
    </r>
    <r>
      <rPr>
        <b/>
        <sz val="12"/>
        <color rgb="FFFF0000"/>
        <rFont val="Arial"/>
        <family val="2"/>
      </rPr>
      <t xml:space="preserve"> </t>
    </r>
    <r>
      <rPr>
        <sz val="12"/>
        <color rgb="FF000000"/>
        <rFont val="Arial"/>
        <family val="2"/>
      </rPr>
      <t>Alineación ecológica con responsabilidad social</t>
    </r>
    <r>
      <rPr>
        <b/>
        <sz val="12"/>
        <color rgb="FFFF0000"/>
        <rFont val="Arial"/>
        <family val="2"/>
      </rPr>
      <t xml:space="preserve"> </t>
    </r>
  </si>
  <si>
    <t xml:space="preserve">Definir el proceso de gestión ambiental y articularlo con las diferentes áreas de la institución, a través, de mecanismos y estrategias que permitan el desarrollo de los procesos medio ambientales y la normatividad legal vigente.
</t>
  </si>
  <si>
    <t xml:space="preserve">Avances en la Implementación de acciones del Plan de Gestión Ambiental </t>
  </si>
  <si>
    <t xml:space="preserve">Diagnostico ambiental y sanitario </t>
  </si>
  <si>
    <t>2020200-6</t>
  </si>
  <si>
    <t>VALERIA Y SUS FUNCIONARIOS DE APOYO</t>
  </si>
  <si>
    <t xml:space="preserve">Programa de formación y educación ambiental </t>
  </si>
  <si>
    <t>Separación en la fuente</t>
  </si>
  <si>
    <t>Movimiento Interno de Residuos</t>
  </si>
  <si>
    <t xml:space="preserve">Garantizar la disposición final del 100% de los residuos de riesgo biológico por empresa externa idónea, a través de un contrato. </t>
  </si>
  <si>
    <t>Tramitar el tratamiento de las Aguas Residuales No Domesticas( ARnD) con EPM</t>
  </si>
  <si>
    <t>Formular el PLAN – Movilidad Empresaria Sostenible (MES)</t>
  </si>
  <si>
    <t>Plan MES-Movilidad Empresarial Sostenible</t>
  </si>
  <si>
    <t>Diagnostico: encuesta de origen-destino a colaboradores</t>
  </si>
  <si>
    <t>Planeación: elección de estrategias para promover la movilidad sostenible</t>
  </si>
  <si>
    <t xml:space="preserve">Educación y sensibilización sobre Movilidad Empresarial Sostenible </t>
  </si>
  <si>
    <t>Implementación del Plan MES</t>
  </si>
  <si>
    <t xml:space="preserve">Capacitaciones para la eduación y concientización del consumo del agua </t>
  </si>
  <si>
    <t>Descansapantallas sobre el uso adecuado del agua</t>
  </si>
  <si>
    <t>Realizar capacitaciones al personal del aseo para el buen uso de productos de desinfección y limpieza</t>
  </si>
  <si>
    <t xml:space="preserve">Capacitaciones para la eduación y concientización del consumo de la energía y la luz natural </t>
  </si>
  <si>
    <t>Descansapantallas sobre el uso adecuado de la energía</t>
  </si>
  <si>
    <t>Realizar seguimiento a los consumos de energía</t>
  </si>
  <si>
    <t>SEGUIMIENTO FÍSICO  PLAN OPERATIVO ANUAL DE INVERSIONES DE LA LINEA 7</t>
  </si>
  <si>
    <t>SEGUIMIENTO FINACIERO DEL PLAN OPERATIVO ANUAL DE INVERSIONES  DE LA LINEA 7</t>
  </si>
  <si>
    <t>OBEJTIVO  DE LA LINEA:Gestionar el talento humano de la institución para el funcionamiento, mantenimiento y mejora de los procesos, que favorezca el desarrollo de nuestra misión</t>
  </si>
  <si>
    <t xml:space="preserve"> cronograma de actividades de capacitación y formacion durante el 2021, dirigido a todo el personal que ingresa a la institución en cualquier tipo de vinculación con la ESE; El plan busca adherencia a las politicas de la ESE, formando en competencias laborales y humanas generando idoneidad en el desempeño de los cargos.</t>
  </si>
  <si>
    <t>DR CARLOS MARÍO SALZAR Y TODOS SUS FUNCIONARIOS DE APOYO.</t>
  </si>
  <si>
    <t>Actualizar y mantener conocimientos generales de la Institución, para el mejor desempeño de empledos, contratistas, agremiados y estudiantes que intervengan en la ESE.  Se evaluará semestralmente todos los empleados en las areas de desempeño</t>
  </si>
  <si>
    <t>El SGSST es un modelo de estandares obligatorios que la institucion debe cumplir, encaminados a la proteccion y la seguridad del trabajador en su desempeño laaboral. Incluye protocolos y programas.</t>
  </si>
  <si>
    <t>70 al 75%</t>
  </si>
  <si>
    <t>75 al 80%</t>
  </si>
  <si>
    <t>80 al 85%</t>
  </si>
  <si>
    <t>Medicion a traves de una encuesta de la satisfaccion y de la percepcion del ambiente laboral por parte de cada empleado de la ESE.</t>
  </si>
  <si>
    <t>Plan de Bienestar e Incentivos contiene las tareas y actividades que busca el mejoramiento del ambiente laboral, generando valores agregados para los empleados y su entorno, mediante actividades, subsidios, incentivos y otros que refuerzan la compensacion de su labor.</t>
  </si>
  <si>
    <t>Plan y cronograma de actividades formativas y educativas, planteadas para el personal de la institución, acorde con las necesidades presentadas por cada area.</t>
  </si>
  <si>
    <t>2010200-9</t>
  </si>
  <si>
    <t>planeacion de las posibles vacantes que se desarrollan en el transcurso del año, y su provision.  Para el 2021 son 11 vacantes por jubilacion mas las que puedan generarse, por otros motivos no programados.</t>
  </si>
  <si>
    <t>Es el plan de trabajo institucional del area de Gestion Humana, que contiene todas las tareas a cargo del proceso</t>
  </si>
  <si>
    <t>2010200-8</t>
  </si>
  <si>
    <t>Es el plan de evaluacion donde se mide el nivel de desempeño de los empleados vinculados a la ESE.  Se realiza semestralmente y se alimenta a la CNSC mediante la plataforma EDL-APP y los formatos de medicion.</t>
  </si>
  <si>
    <t>Capacitaciones para el personal pre- jubilable, y actividades del grupo de jubilados de la institución.</t>
  </si>
  <si>
    <t>Reducir la rotacion del personal administrativo y misional, vinculado a la ESE por los diversos medios de contratacion.</t>
  </si>
  <si>
    <t>Formular politica de conocimieno e inv.</t>
  </si>
  <si>
    <t>politica</t>
  </si>
  <si>
    <t>SEGUIMIENTO FÍSICO  PLAN OPERATIVO ANUAL DE INVERSIONES DE LA LINEA 8</t>
  </si>
  <si>
    <t>SEGUIMIENTO FINACIERO DEL PLAN OPERATIVO ANUAL DE INVERSIONES   DE LA LINEA 8</t>
  </si>
  <si>
    <t>SEGUIMIENTO FÍSICO  POAI 2021</t>
  </si>
  <si>
    <t>META</t>
  </si>
  <si>
    <t>SEGUNDO  TRIMESTRE</t>
  </si>
  <si>
    <t>RESUMEN DE EJECUCIÓN  FIANCIERA DEL POAI 2021 DE LA ESE HOSPITAL LA MARÍA</t>
  </si>
  <si>
    <t xml:space="preserve"> RECURSOS ASISGNADOS</t>
  </si>
  <si>
    <t>TOTAL SEMESTRE</t>
  </si>
  <si>
    <t>PLAN OPERATIVO ANUAL DE INVERSIONES 2022
ESE HOSPITAL LA MARÍA</t>
  </si>
  <si>
    <t xml:space="preserve">Actualizar y adoptar el  manual de funciones acorde a lka estructura funcional </t>
  </si>
  <si>
    <t xml:space="preserve">continuar con  el estudio de la estrutura y  presentarlo para  aprobación en la junta directiva  </t>
  </si>
  <si>
    <t>Documentación de procesos segun los requerimientos del sistema unico de habilitación y del mapa de procesos.</t>
  </si>
  <si>
    <t xml:space="preserve">Socialización y sensibilziación de los procesos documentados   al lider y responsables del servicio </t>
  </si>
  <si>
    <t>Auditoria y/o informe de  la verificación de la implementación de los procesos documentados</t>
  </si>
  <si>
    <t>Formular el plan de trabajo según el resultado de la autoevalución para iniciar el proceso de implementación para la habilitación deñ servicio</t>
  </si>
  <si>
    <t xml:space="preserve">Realizar la autoveluación  de los requisitos SUH, </t>
  </si>
  <si>
    <t>Formular el convenio para la adquisición de la plataforma para prestar servicios en la modalidad de telemedicina.</t>
  </si>
  <si>
    <t>Gestionar la entrega de las ambulancias solicitadas a través del proyecto presentado a la SSSA, con el fin de continuar mejorando los tiempos de respuesta en la regulación de pacientes.</t>
  </si>
  <si>
    <t>Realizar monitoreo de centros de costos</t>
  </si>
  <si>
    <t xml:space="preserve"> someter a aprobación el manual de contratación actualizado</t>
  </si>
  <si>
    <t xml:space="preserve">Hacer la Identificación  del proveedor para Plataforma de Gestión Documental </t>
  </si>
  <si>
    <t>Actualizar la estructura del sistema de información en el manejo de la HC - como registro de enfermería, mediante el levantamiento de requerimientos y posterior desarrollo que debe ser implementado en su totalidad.</t>
  </si>
  <si>
    <t>Expansión de servicios digitales en la nube, para facilitar operaciones dentro de la entidad ( Correo -  Cloud Backup)</t>
  </si>
  <si>
    <t>Seguimiento y control a las aplicaciones que se encuentran instaladas en los equipos de computo de la ESE Hospital la María</t>
  </si>
  <si>
    <t>1.Realizar transferencias de conocimientos al personal asistencial enfocadas en la atención con enfoque diferencial. (lenguaje de señas, personas en condiciones de discapacidad, población indígena, etc.)</t>
  </si>
  <si>
    <t xml:space="preserve">Acompañamiento a los diferentes espacios de participación de la ESE Hospital La María (Asociación de Usuarios y Comité de ética)  </t>
  </si>
  <si>
    <t>Implementación del Plan MES en la E.S.E, de acuerdo a la aprobación del documento enviado al Área Metropolitana del  Valle de Aburrá</t>
  </si>
  <si>
    <t xml:space="preserve">Realizar el procedimiento de inducción al personal que ingresa a la E.S.E Hospital La María, independientemente de su modalidad de contratación.   </t>
  </si>
  <si>
    <t xml:space="preserve">Realizar procedimiento de reinducción de la E.S.E Hospital La María </t>
  </si>
  <si>
    <t>Medir la ejecución del cronograma del plan de Bienestar Social e Incentivos</t>
  </si>
  <si>
    <t xml:space="preserve">DESGLOSE </t>
  </si>
  <si>
    <t>VALOR TOTAL</t>
  </si>
  <si>
    <t>Recurso humano de finaciera, tesoreria, contabilidad, presupuesto, facturación, cartera, glosas, auditorias</t>
  </si>
  <si>
    <t>Farmacia</t>
  </si>
  <si>
    <t>Mantenimiento de infraestructura, equipos biomedicos, ascensores, aires acondicionados, entre otros mantenimientos, recurso humano administrativo, conductores, vigilancia, contratación de equipo juridico, compra de insumos, lavanderia, mensajeria,conductores,lavanderia,alimentación, servicios generales,alimentación. combustible, adecuaciones,entre otros</t>
  </si>
  <si>
    <t xml:space="preserve">DECRIPCIÓN </t>
  </si>
  <si>
    <t>contratación de servicios medicos especializados, servicios de laboratorio,Servicios de bancos de sangre, órganos y esperma, Servicios proporcionados por organizaciones gremiales, comerciales y de empleadores,Servicios quirúrgicos a pacientes hospitalizados,Servicios de alojamiento de sitios web (hosting),Servicios de centros de llamadas telefónicas (call center),Instrumentos, aparatos y accesorios para medicina y cirugía</t>
  </si>
  <si>
    <t>Servicios para la comunidad, sociales y personales</t>
  </si>
  <si>
    <t>Recurso humano de enfermeria</t>
  </si>
  <si>
    <t xml:space="preserve"> Proyecto de VIH </t>
  </si>
  <si>
    <t>Unidad Renal</t>
  </si>
  <si>
    <t>Enterritorio</t>
  </si>
  <si>
    <t>INPEC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</si>
</sst>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240A]\ * #,##0_-;\-[$$-240A]\ * #,##0_-;_-[$$-240A]\ * &quot;-&quot;??_-;_-@_-"/>
    <numFmt numFmtId="168" formatCode="_-&quot;$&quot;\ * #,##0_-;\-&quot;$&quot;\ * #,##0_-;_-&quot;$&quot;\ * &quot;-&quot;??_-;_-@_-"/>
    <numFmt numFmtId="169" formatCode="_-&quot;$&quot;\ * #,##0_-;\-&quot;$&quot;\ * #,##0_-;_-&quot;$&quot;\ * &quot;-&quot;?_-;_-@_-"/>
    <numFmt numFmtId="170" formatCode="0.0"/>
    <numFmt numFmtId="171" formatCode="0.0%"/>
  </numFmts>
  <fonts count="4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1"/>
      <color rgb="FF000000"/>
      <name val="Arial"/>
      <family val="2"/>
    </font>
    <font>
      <b/>
      <sz val="14"/>
      <color theme="1"/>
      <name val="Arial"/>
      <family val="2"/>
    </font>
    <font>
      <b/>
      <sz val="12"/>
      <color theme="1"/>
      <name val="Arial"/>
      <family val="2"/>
    </font>
    <font>
      <b/>
      <sz val="11"/>
      <color theme="1"/>
      <name val="Arial"/>
      <family val="2"/>
    </font>
    <font>
      <sz val="11"/>
      <name val="Arial"/>
      <family val="2"/>
    </font>
    <font>
      <sz val="11"/>
      <color rgb="FF000000"/>
      <name val="Arial"/>
      <family val="2"/>
    </font>
    <font>
      <sz val="11"/>
      <color theme="1"/>
      <name val="Calibri"/>
      <family val="2"/>
      <scheme val="minor"/>
    </font>
    <font>
      <b/>
      <sz val="11"/>
      <name val="Arial"/>
      <family val="2"/>
    </font>
    <font>
      <b/>
      <sz val="18"/>
      <color indexed="16"/>
      <name val="Arial"/>
      <family val="2"/>
    </font>
    <font>
      <sz val="11"/>
      <color theme="0"/>
      <name val="Calibri"/>
      <family val="2"/>
      <scheme val="minor"/>
    </font>
    <font>
      <b/>
      <sz val="11"/>
      <color rgb="FF000000"/>
      <name val="Calibri"/>
      <family val="2"/>
      <scheme val="minor"/>
    </font>
    <font>
      <sz val="11"/>
      <color rgb="FF000000"/>
      <name val="Calibri"/>
      <family val="2"/>
      <scheme val="minor"/>
    </font>
    <font>
      <sz val="12"/>
      <color rgb="FF000000"/>
      <name val="Arial"/>
      <family val="2"/>
    </font>
    <font>
      <b/>
      <sz val="12"/>
      <color rgb="FFFF0000"/>
      <name val="Arial"/>
      <family val="2"/>
    </font>
    <font>
      <b/>
      <sz val="12"/>
      <color rgb="FF000000"/>
      <name val="Arial"/>
      <family val="2"/>
    </font>
    <font>
      <b/>
      <sz val="20"/>
      <color theme="1"/>
      <name val="Arial"/>
      <family val="2"/>
    </font>
    <font>
      <u/>
      <sz val="11"/>
      <color theme="1"/>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8"/>
      <name val="Calibri"/>
      <family val="2"/>
      <scheme val="minor"/>
    </font>
    <font>
      <sz val="14"/>
      <color theme="1"/>
      <name val="Arial"/>
      <family val="2"/>
    </font>
    <font>
      <sz val="16"/>
      <color theme="1"/>
      <name val="Arial"/>
      <family val="2"/>
    </font>
    <font>
      <b/>
      <sz val="14"/>
      <color indexed="81"/>
      <name val="Tahoma"/>
      <family val="2"/>
    </font>
    <font>
      <sz val="14"/>
      <color indexed="81"/>
      <name val="Tahoma"/>
      <family val="2"/>
    </font>
    <font>
      <sz val="16"/>
      <color indexed="81"/>
      <name val="Tahoma"/>
      <family val="2"/>
    </font>
    <font>
      <b/>
      <sz val="12"/>
      <color theme="1"/>
      <name val="Calibri"/>
      <family val="2"/>
      <scheme val="minor"/>
    </font>
    <font>
      <sz val="12"/>
      <color theme="1"/>
      <name val="Calibri"/>
      <family val="2"/>
      <scheme val="minor"/>
    </font>
    <font>
      <sz val="11"/>
      <color theme="1"/>
      <name val="Calibri"/>
      <family val="2"/>
      <scheme val="minor"/>
    </font>
    <font>
      <sz val="9"/>
      <color rgb="FF000000"/>
      <name val="Tahoma"/>
      <family val="2"/>
    </font>
    <font>
      <sz val="12"/>
      <color rgb="FFFF0000"/>
      <name val="Arial"/>
      <family val="2"/>
    </font>
    <font>
      <sz val="11"/>
      <color rgb="FFFF0000"/>
      <name val="Calibri"/>
      <family val="2"/>
      <scheme val="minor"/>
    </font>
    <font>
      <sz val="11"/>
      <name val="Calibri"/>
      <family val="2"/>
    </font>
    <font>
      <sz val="10"/>
      <color theme="1"/>
      <name val="Arial"/>
      <family val="2"/>
    </font>
    <font>
      <sz val="10"/>
      <color theme="1"/>
      <name val="Calibri"/>
      <family val="2"/>
      <scheme val="minor"/>
    </font>
    <font>
      <b/>
      <sz val="10"/>
      <color theme="1"/>
      <name val="Arial"/>
      <family val="2"/>
    </font>
    <font>
      <b/>
      <sz val="10"/>
      <color theme="1"/>
      <name val="Calibri"/>
      <family val="2"/>
      <scheme val="minor"/>
    </font>
  </fonts>
  <fills count="38">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4" tint="0.3998535111545152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2F5496"/>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rgb="FF92D050"/>
        <bgColor indexed="64"/>
      </patternFill>
    </fill>
    <fill>
      <patternFill patternType="solid">
        <fgColor rgb="FF92D050"/>
        <bgColor rgb="FF000000"/>
      </patternFill>
    </fill>
    <fill>
      <patternFill patternType="solid">
        <fgColor rgb="FF00B0F0"/>
        <bgColor indexed="64"/>
      </patternFill>
    </fill>
    <fill>
      <patternFill patternType="solid">
        <fgColor rgb="FF00B0F0"/>
        <bgColor rgb="FF000000"/>
      </patternFill>
    </fill>
    <fill>
      <patternFill patternType="solid">
        <fgColor rgb="FF00B050"/>
        <bgColor rgb="FF000000"/>
      </patternFill>
    </fill>
    <fill>
      <patternFill patternType="solid">
        <fgColor theme="7"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9" tint="0.39997558519241921"/>
        <bgColor rgb="FF000000"/>
      </patternFill>
    </fill>
    <fill>
      <patternFill patternType="solid">
        <fgColor theme="4"/>
        <bgColor rgb="FF000000"/>
      </patternFill>
    </fill>
    <fill>
      <patternFill patternType="solid">
        <fgColor theme="8" tint="0.39997558519241921"/>
        <bgColor rgb="FF000000"/>
      </patternFill>
    </fill>
    <fill>
      <patternFill patternType="solid">
        <fgColor rgb="FFC00000"/>
        <bgColor indexed="64"/>
      </patternFill>
    </fill>
    <fill>
      <patternFill patternType="solid">
        <fgColor rgb="FF7030A0"/>
        <bgColor indexed="64"/>
      </patternFill>
    </fill>
    <fill>
      <patternFill patternType="solid">
        <fgColor theme="6"/>
        <bgColor indexed="64"/>
      </patternFill>
    </fill>
    <fill>
      <patternFill patternType="solid">
        <fgColor theme="0"/>
        <bgColor rgb="FF000000"/>
      </patternFill>
    </fill>
    <fill>
      <patternFill patternType="solid">
        <fgColor theme="1" tint="0.499984740745262"/>
        <bgColor indexed="64"/>
      </patternFill>
    </fill>
    <fill>
      <patternFill patternType="solid">
        <fgColor rgb="FFFFFF00"/>
        <bgColor rgb="FF000000"/>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right style="thick">
        <color rgb="FF000000"/>
      </right>
      <top style="medium">
        <color rgb="FFCCCCCC"/>
      </top>
      <bottom style="thick">
        <color rgb="FF000000"/>
      </bottom>
      <diagonal/>
    </border>
    <border>
      <left style="medium">
        <color auto="1"/>
      </left>
      <right/>
      <top/>
      <bottom/>
      <diagonal/>
    </border>
    <border>
      <left style="thin">
        <color auto="1"/>
      </left>
      <right/>
      <top/>
      <bottom/>
      <diagonal/>
    </border>
    <border>
      <left style="medium">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style="medium">
        <color auto="1"/>
      </top>
      <bottom/>
      <diagonal/>
    </border>
    <border>
      <left style="thin">
        <color auto="1"/>
      </left>
      <right/>
      <top/>
      <bottom style="medium">
        <color indexed="64"/>
      </bottom>
      <diagonal/>
    </border>
    <border>
      <left style="medium">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top/>
      <bottom style="medium">
        <color auto="1"/>
      </bottom>
      <diagonal/>
    </border>
    <border>
      <left/>
      <right/>
      <top style="medium">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right style="medium">
        <color auto="1"/>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medium">
        <color auto="1"/>
      </top>
      <bottom/>
      <diagonal/>
    </border>
    <border>
      <left/>
      <right style="thin">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ck">
        <color rgb="FF000000"/>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style="thick">
        <color rgb="FF000000"/>
      </right>
      <top style="medium">
        <color rgb="FFCCCCCC"/>
      </top>
      <bottom style="thick">
        <color rgb="FF000000"/>
      </bottom>
      <diagonal/>
    </border>
    <border>
      <left style="medium">
        <color rgb="FFCCCCCC"/>
      </left>
      <right style="medium">
        <color indexed="64"/>
      </right>
      <top style="medium">
        <color rgb="FFCCCCCC"/>
      </top>
      <bottom style="thick">
        <color rgb="FF000000"/>
      </bottom>
      <diagonal/>
    </border>
    <border>
      <left style="medium">
        <color indexed="64"/>
      </left>
      <right style="thick">
        <color rgb="FF000000"/>
      </right>
      <top style="medium">
        <color rgb="FFCCCCCC"/>
      </top>
      <bottom style="medium">
        <color indexed="64"/>
      </bottom>
      <diagonal/>
    </border>
    <border>
      <left style="thick">
        <color rgb="FF000000"/>
      </left>
      <right style="thick">
        <color rgb="FF000000"/>
      </right>
      <top style="medium">
        <color rgb="FFCCCCCC"/>
      </top>
      <bottom style="medium">
        <color indexed="64"/>
      </bottom>
      <diagonal/>
    </border>
    <border>
      <left style="medium">
        <color rgb="FFCCCCCC"/>
      </left>
      <right style="thick">
        <color rgb="FF000000"/>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s>
  <cellStyleXfs count="133">
    <xf numFmtId="0" fontId="0" fillId="0" borderId="0"/>
    <xf numFmtId="165" fontId="13" fillId="0" borderId="0" applyFont="0" applyFill="0" applyBorder="0" applyAlignment="0" applyProtection="0"/>
    <xf numFmtId="9" fontId="26" fillId="0" borderId="0" applyFont="0" applyFill="0" applyBorder="0" applyAlignment="0" applyProtection="0"/>
    <xf numFmtId="165"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6" fillId="0" borderId="0"/>
    <xf numFmtId="9" fontId="26" fillId="0" borderId="0" applyFont="0" applyFill="0" applyBorder="0" applyAlignment="0" applyProtection="0"/>
    <xf numFmtId="165" fontId="3"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6"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1287">
    <xf numFmtId="0" fontId="0" fillId="0" borderId="0" xfId="0"/>
    <xf numFmtId="0" fontId="6" fillId="0" borderId="0" xfId="0" applyFont="1" applyAlignment="1">
      <alignment horizontal="center" vertical="center"/>
    </xf>
    <xf numFmtId="0" fontId="6" fillId="0" borderId="0" xfId="0" applyFont="1"/>
    <xf numFmtId="0" fontId="6" fillId="0" borderId="0" xfId="0" applyFont="1" applyAlignment="1">
      <alignment horizontal="center" vertical="center" wrapText="1"/>
    </xf>
    <xf numFmtId="165" fontId="10" fillId="4" borderId="11" xfId="1" applyFont="1" applyFill="1" applyBorder="1" applyAlignment="1">
      <alignment horizontal="center" vertical="center" wrapText="1"/>
    </xf>
    <xf numFmtId="0" fontId="6" fillId="0" borderId="0" xfId="0" applyFont="1" applyAlignment="1">
      <alignment horizontal="justify" vertical="center" wrapText="1"/>
    </xf>
    <xf numFmtId="0" fontId="9" fillId="4" borderId="11" xfId="0" applyFont="1" applyFill="1" applyBorder="1" applyAlignment="1">
      <alignment horizontal="center" vertical="center" wrapText="1"/>
    </xf>
    <xf numFmtId="165" fontId="6" fillId="0" borderId="0" xfId="1" applyFont="1" applyAlignment="1">
      <alignment horizontal="center" vertical="center" wrapText="1"/>
    </xf>
    <xf numFmtId="165" fontId="6" fillId="0" borderId="0" xfId="1" applyFont="1" applyFill="1" applyAlignment="1">
      <alignment horizontal="center" vertical="center" wrapText="1"/>
    </xf>
    <xf numFmtId="0" fontId="9" fillId="0" borderId="0" xfId="0" applyFont="1" applyAlignment="1">
      <alignment horizontal="center" vertical="center"/>
    </xf>
    <xf numFmtId="0" fontId="9" fillId="0" borderId="0" xfId="0" applyFont="1"/>
    <xf numFmtId="165" fontId="6" fillId="6" borderId="0" xfId="1" applyFont="1" applyFill="1" applyAlignment="1">
      <alignment horizontal="center" vertical="center" wrapText="1"/>
    </xf>
    <xf numFmtId="3" fontId="15" fillId="0" borderId="13" xfId="0" applyNumberFormat="1" applyFont="1" applyBorder="1" applyAlignment="1">
      <alignment horizontal="right" vertical="center"/>
    </xf>
    <xf numFmtId="165" fontId="6" fillId="0" borderId="0" xfId="0" applyNumberFormat="1" applyFont="1" applyAlignment="1">
      <alignment horizontal="center" vertical="center" wrapText="1"/>
    </xf>
    <xf numFmtId="3" fontId="6" fillId="0" borderId="0" xfId="0" applyNumberFormat="1" applyFont="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6" fillId="8" borderId="33" xfId="0" applyFont="1" applyFill="1" applyBorder="1" applyAlignment="1">
      <alignment vertical="center" wrapText="1"/>
    </xf>
    <xf numFmtId="0" fontId="18" fillId="0" borderId="34" xfId="0" applyFont="1" applyBorder="1" applyAlignment="1">
      <alignment horizontal="center" vertical="center" wrapText="1"/>
    </xf>
    <xf numFmtId="0" fontId="6" fillId="3" borderId="7"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4" borderId="8" xfId="0" applyFont="1" applyFill="1" applyBorder="1" applyAlignment="1">
      <alignment vertical="center" wrapText="1"/>
    </xf>
    <xf numFmtId="0" fontId="14" fillId="4" borderId="1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2" xfId="0" applyFont="1" applyFill="1" applyBorder="1" applyAlignment="1">
      <alignment vertical="center" wrapText="1"/>
    </xf>
    <xf numFmtId="0" fontId="6" fillId="11" borderId="2" xfId="0" applyFont="1" applyFill="1" applyBorder="1" applyAlignment="1">
      <alignment horizontal="center" vertical="center"/>
    </xf>
    <xf numFmtId="0" fontId="6" fillId="11" borderId="1" xfId="0" applyFont="1" applyFill="1" applyBorder="1" applyAlignment="1">
      <alignment horizontal="left" vertical="center" wrapText="1"/>
    </xf>
    <xf numFmtId="0" fontId="6" fillId="11" borderId="1" xfId="0" applyFont="1" applyFill="1" applyBorder="1" applyAlignment="1">
      <alignment vertical="center" wrapText="1"/>
    </xf>
    <xf numFmtId="0" fontId="6" fillId="11" borderId="1" xfId="0" applyFont="1" applyFill="1" applyBorder="1" applyAlignment="1">
      <alignment horizontal="center" vertical="center"/>
    </xf>
    <xf numFmtId="0" fontId="11" fillId="12" borderId="1" xfId="0" applyFont="1" applyFill="1" applyBorder="1" applyAlignment="1">
      <alignment horizontal="justify" vertical="center" wrapText="1"/>
    </xf>
    <xf numFmtId="0" fontId="6" fillId="11" borderId="3" xfId="0" applyFont="1" applyFill="1" applyBorder="1" applyAlignment="1">
      <alignment horizontal="left" vertical="center" wrapText="1"/>
    </xf>
    <xf numFmtId="0" fontId="6" fillId="11" borderId="20" xfId="0" applyFont="1" applyFill="1" applyBorder="1" applyAlignment="1">
      <alignment horizontal="center" vertical="center" wrapText="1"/>
    </xf>
    <xf numFmtId="0" fontId="6" fillId="11" borderId="3" xfId="0" applyFont="1" applyFill="1" applyBorder="1" applyAlignment="1">
      <alignment vertical="center" wrapText="1"/>
    </xf>
    <xf numFmtId="0" fontId="6" fillId="11" borderId="20" xfId="0" applyFont="1" applyFill="1" applyBorder="1" applyAlignment="1">
      <alignment vertical="center" wrapText="1"/>
    </xf>
    <xf numFmtId="0" fontId="6" fillId="11" borderId="3" xfId="0" applyFont="1" applyFill="1" applyBorder="1" applyAlignment="1">
      <alignment horizontal="center" vertical="center"/>
    </xf>
    <xf numFmtId="0" fontId="6" fillId="11" borderId="1" xfId="0" applyFont="1" applyFill="1" applyBorder="1" applyAlignment="1">
      <alignment horizontal="justify" vertical="center" wrapText="1"/>
    </xf>
    <xf numFmtId="0" fontId="6" fillId="11" borderId="11" xfId="0" applyFont="1" applyFill="1" applyBorder="1" applyAlignment="1">
      <alignment vertical="center" wrapText="1"/>
    </xf>
    <xf numFmtId="0" fontId="6" fillId="11" borderId="11" xfId="0" applyFont="1" applyFill="1" applyBorder="1" applyAlignment="1">
      <alignment vertical="center"/>
    </xf>
    <xf numFmtId="0" fontId="6" fillId="13" borderId="1" xfId="0" applyFont="1" applyFill="1" applyBorder="1" applyAlignment="1">
      <alignment horizontal="left" vertical="center" wrapText="1"/>
    </xf>
    <xf numFmtId="0" fontId="6" fillId="13" borderId="1" xfId="0" applyFont="1" applyFill="1" applyBorder="1" applyAlignment="1">
      <alignment horizontal="center" vertical="center" wrapText="1"/>
    </xf>
    <xf numFmtId="0" fontId="6" fillId="13" borderId="1" xfId="0" applyFont="1" applyFill="1" applyBorder="1" applyAlignment="1">
      <alignment vertical="center" wrapText="1"/>
    </xf>
    <xf numFmtId="0" fontId="6" fillId="13" borderId="1" xfId="0" applyFont="1" applyFill="1" applyBorder="1" applyAlignment="1">
      <alignment vertical="center"/>
    </xf>
    <xf numFmtId="165" fontId="6" fillId="13" borderId="1" xfId="1" applyFont="1" applyFill="1" applyBorder="1" applyAlignment="1">
      <alignment horizontal="center" vertical="center" wrapText="1"/>
    </xf>
    <xf numFmtId="0" fontId="6" fillId="13" borderId="1" xfId="0" applyFont="1" applyFill="1" applyBorder="1" applyAlignment="1">
      <alignment horizontal="center" vertical="center"/>
    </xf>
    <xf numFmtId="0" fontId="6" fillId="13" borderId="1" xfId="0" applyFont="1" applyFill="1" applyBorder="1" applyAlignment="1">
      <alignment horizontal="justify" vertical="center" wrapText="1"/>
    </xf>
    <xf numFmtId="0" fontId="0" fillId="13" borderId="1" xfId="0" applyFill="1" applyBorder="1" applyAlignment="1">
      <alignment horizontal="center" vertical="center" wrapText="1"/>
    </xf>
    <xf numFmtId="0" fontId="6" fillId="13" borderId="3" xfId="0" applyFont="1" applyFill="1" applyBorder="1" applyAlignment="1">
      <alignment vertical="center"/>
    </xf>
    <xf numFmtId="0" fontId="6" fillId="13" borderId="3" xfId="0" applyFont="1" applyFill="1" applyBorder="1" applyAlignment="1">
      <alignment horizontal="center" vertical="center" wrapText="1"/>
    </xf>
    <xf numFmtId="0" fontId="6" fillId="13" borderId="3" xfId="0" applyFont="1" applyFill="1" applyBorder="1" applyAlignment="1">
      <alignment horizontal="center" vertical="center"/>
    </xf>
    <xf numFmtId="0" fontId="11" fillId="14" borderId="1" xfId="0" applyFont="1" applyFill="1" applyBorder="1" applyAlignment="1">
      <alignment horizontal="justify" vertical="center" wrapText="1"/>
    </xf>
    <xf numFmtId="0" fontId="6" fillId="13" borderId="3" xfId="0" applyFont="1" applyFill="1" applyBorder="1" applyAlignment="1">
      <alignment vertical="center" wrapText="1"/>
    </xf>
    <xf numFmtId="0" fontId="6" fillId="15" borderId="2" xfId="0" applyFont="1" applyFill="1" applyBorder="1" applyAlignment="1">
      <alignment vertical="center" wrapText="1"/>
    </xf>
    <xf numFmtId="0" fontId="6" fillId="15" borderId="2" xfId="0" applyFont="1" applyFill="1" applyBorder="1" applyAlignment="1">
      <alignment horizontal="center" vertical="center"/>
    </xf>
    <xf numFmtId="0" fontId="6" fillId="15" borderId="2" xfId="0" applyFont="1" applyFill="1" applyBorder="1" applyAlignment="1">
      <alignment vertical="center"/>
    </xf>
    <xf numFmtId="0" fontId="11" fillId="16" borderId="2" xfId="0" applyFont="1" applyFill="1" applyBorder="1" applyAlignment="1">
      <alignment horizontal="justify" vertical="center" wrapText="1"/>
    </xf>
    <xf numFmtId="0" fontId="6" fillId="15" borderId="8" xfId="0" applyFont="1" applyFill="1" applyBorder="1" applyAlignment="1">
      <alignment vertical="center" wrapText="1"/>
    </xf>
    <xf numFmtId="0" fontId="6" fillId="15" borderId="8" xfId="0" applyFont="1" applyFill="1" applyBorder="1" applyAlignment="1">
      <alignment vertical="center"/>
    </xf>
    <xf numFmtId="0" fontId="6" fillId="15" borderId="1" xfId="0" applyFont="1" applyFill="1" applyBorder="1" applyAlignment="1">
      <alignment horizontal="left" vertical="center" wrapText="1"/>
    </xf>
    <xf numFmtId="0" fontId="6" fillId="15" borderId="1" xfId="0" applyFont="1" applyFill="1" applyBorder="1" applyAlignment="1">
      <alignment horizontal="center" vertical="center" wrapText="1"/>
    </xf>
    <xf numFmtId="165" fontId="6" fillId="15" borderId="1" xfId="1" applyFont="1" applyFill="1" applyBorder="1" applyAlignment="1">
      <alignment horizontal="center" vertical="center" wrapText="1"/>
    </xf>
    <xf numFmtId="0" fontId="6" fillId="15" borderId="1" xfId="0" applyFont="1" applyFill="1" applyBorder="1" applyAlignment="1">
      <alignment vertical="center"/>
    </xf>
    <xf numFmtId="0" fontId="6" fillId="15" borderId="3" xfId="0" applyFont="1" applyFill="1" applyBorder="1" applyAlignment="1">
      <alignment horizontal="center" vertical="center" wrapText="1"/>
    </xf>
    <xf numFmtId="0" fontId="6" fillId="15" borderId="3" xfId="0" applyFont="1" applyFill="1" applyBorder="1" applyAlignment="1">
      <alignment vertical="center" wrapText="1"/>
    </xf>
    <xf numFmtId="0" fontId="6" fillId="15" borderId="3" xfId="0" applyFont="1" applyFill="1" applyBorder="1" applyAlignment="1">
      <alignment horizontal="center" vertical="center"/>
    </xf>
    <xf numFmtId="0" fontId="6" fillId="15" borderId="3" xfId="0" applyFont="1" applyFill="1" applyBorder="1" applyAlignment="1">
      <alignment vertical="center"/>
    </xf>
    <xf numFmtId="165" fontId="6" fillId="15" borderId="3" xfId="1" applyFont="1" applyFill="1" applyBorder="1" applyAlignment="1">
      <alignment horizontal="center" vertical="center" wrapText="1"/>
    </xf>
    <xf numFmtId="0" fontId="6" fillId="15" borderId="20" xfId="0" applyFont="1" applyFill="1" applyBorder="1" applyAlignment="1">
      <alignment horizontal="left" vertical="center" wrapText="1"/>
    </xf>
    <xf numFmtId="0" fontId="6" fillId="15" borderId="9" xfId="0" applyFont="1" applyFill="1" applyBorder="1" applyAlignment="1">
      <alignment vertical="center" wrapText="1"/>
    </xf>
    <xf numFmtId="0" fontId="6" fillId="7" borderId="8" xfId="0" applyFont="1" applyFill="1" applyBorder="1" applyAlignment="1">
      <alignment vertical="center" wrapText="1"/>
    </xf>
    <xf numFmtId="0" fontId="6" fillId="7" borderId="8" xfId="0" applyFont="1" applyFill="1" applyBorder="1" applyAlignment="1">
      <alignment vertical="center"/>
    </xf>
    <xf numFmtId="0" fontId="6" fillId="7" borderId="8" xfId="0" applyFont="1" applyFill="1" applyBorder="1" applyAlignment="1">
      <alignment horizontal="justify" vertical="center" wrapText="1"/>
    </xf>
    <xf numFmtId="0" fontId="6" fillId="7" borderId="1" xfId="0" applyFont="1" applyFill="1" applyBorder="1" applyAlignment="1">
      <alignment vertical="center" wrapText="1"/>
    </xf>
    <xf numFmtId="0" fontId="6" fillId="7" borderId="1" xfId="0" applyFont="1" applyFill="1" applyBorder="1" applyAlignment="1">
      <alignment horizontal="center" vertical="center"/>
    </xf>
    <xf numFmtId="0" fontId="6" fillId="7" borderId="1" xfId="0" applyFont="1" applyFill="1" applyBorder="1" applyAlignment="1">
      <alignment horizontal="justify" vertical="center" wrapText="1"/>
    </xf>
    <xf numFmtId="0" fontId="6" fillId="7" borderId="8" xfId="0" applyFont="1" applyFill="1" applyBorder="1" applyAlignment="1">
      <alignment horizontal="center" vertical="center" wrapText="1"/>
    </xf>
    <xf numFmtId="0" fontId="12" fillId="17" borderId="1" xfId="0" applyFont="1" applyFill="1" applyBorder="1" applyAlignment="1">
      <alignment horizontal="justify" vertical="center" wrapText="1"/>
    </xf>
    <xf numFmtId="0" fontId="6"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1" xfId="0" applyFont="1" applyFill="1" applyBorder="1" applyAlignment="1">
      <alignment vertical="center" wrapText="1"/>
    </xf>
    <xf numFmtId="0" fontId="6" fillId="9" borderId="2" xfId="0" applyFont="1" applyFill="1" applyBorder="1" applyAlignment="1">
      <alignment horizontal="center" vertical="center"/>
    </xf>
    <xf numFmtId="165" fontId="6" fillId="9" borderId="2" xfId="1" applyFont="1" applyFill="1" applyBorder="1" applyAlignment="1">
      <alignment horizontal="center" vertical="center" wrapText="1"/>
    </xf>
    <xf numFmtId="0" fontId="6" fillId="9" borderId="1" xfId="0" applyFont="1" applyFill="1" applyBorder="1" applyAlignment="1">
      <alignment horizontal="center" vertical="center"/>
    </xf>
    <xf numFmtId="0" fontId="6" fillId="9" borderId="1" xfId="0" applyFont="1" applyFill="1" applyBorder="1" applyAlignment="1">
      <alignment vertical="center" wrapText="1"/>
    </xf>
    <xf numFmtId="0" fontId="6" fillId="9" borderId="1" xfId="0" applyFont="1" applyFill="1" applyBorder="1" applyAlignment="1">
      <alignment vertical="center"/>
    </xf>
    <xf numFmtId="0" fontId="6" fillId="9" borderId="1" xfId="0" applyFont="1" applyFill="1" applyBorder="1" applyAlignment="1">
      <alignment horizontal="justify" vertical="center" wrapText="1"/>
    </xf>
    <xf numFmtId="0" fontId="6"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165" fontId="6" fillId="9" borderId="1" xfId="1" applyFont="1" applyFill="1" applyBorder="1" applyAlignment="1">
      <alignment horizontal="center" vertical="center" wrapText="1"/>
    </xf>
    <xf numFmtId="0" fontId="6" fillId="7" borderId="11" xfId="0" applyFont="1" applyFill="1" applyBorder="1" applyAlignment="1">
      <alignment horizontal="center" vertical="center"/>
    </xf>
    <xf numFmtId="0" fontId="6" fillId="7" borderId="11" xfId="0" applyFont="1" applyFill="1" applyBorder="1" applyAlignment="1">
      <alignment horizontal="justify" vertical="center" wrapText="1"/>
    </xf>
    <xf numFmtId="0" fontId="6" fillId="9" borderId="11" xfId="0" applyFont="1" applyFill="1" applyBorder="1" applyAlignment="1">
      <alignment horizontal="center" vertical="center" wrapText="1"/>
    </xf>
    <xf numFmtId="0" fontId="6" fillId="9" borderId="11" xfId="0" applyFont="1" applyFill="1" applyBorder="1" applyAlignment="1">
      <alignment vertical="center"/>
    </xf>
    <xf numFmtId="0" fontId="6" fillId="9" borderId="11" xfId="0" applyFont="1" applyFill="1" applyBorder="1" applyAlignment="1">
      <alignment horizontal="justify" vertical="center" wrapText="1"/>
    </xf>
    <xf numFmtId="0" fontId="6" fillId="18" borderId="2" xfId="0" applyFont="1" applyFill="1" applyBorder="1" applyAlignment="1">
      <alignment horizontal="center" vertical="center" wrapText="1"/>
    </xf>
    <xf numFmtId="0" fontId="6" fillId="18" borderId="2" xfId="0" applyFont="1" applyFill="1" applyBorder="1" applyAlignment="1">
      <alignment vertical="center"/>
    </xf>
    <xf numFmtId="165" fontId="6" fillId="18" borderId="2" xfId="1" applyFont="1" applyFill="1" applyBorder="1" applyAlignment="1">
      <alignment horizontal="center" vertical="center" wrapText="1"/>
    </xf>
    <xf numFmtId="0" fontId="6" fillId="18" borderId="8"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1" xfId="0" applyFont="1" applyFill="1" applyBorder="1" applyAlignment="1">
      <alignment vertical="center"/>
    </xf>
    <xf numFmtId="0" fontId="6" fillId="18" borderId="1" xfId="0" applyFont="1" applyFill="1" applyBorder="1" applyAlignment="1">
      <alignment horizontal="justify" vertical="center" wrapText="1"/>
    </xf>
    <xf numFmtId="0" fontId="6" fillId="18" borderId="1" xfId="0" applyFont="1" applyFill="1" applyBorder="1" applyAlignment="1">
      <alignment horizontal="center" vertical="center"/>
    </xf>
    <xf numFmtId="165" fontId="6" fillId="18" borderId="1" xfId="1" applyFont="1" applyFill="1" applyBorder="1" applyAlignment="1">
      <alignment horizontal="center" vertical="center" wrapText="1"/>
    </xf>
    <xf numFmtId="0" fontId="6" fillId="18" borderId="1" xfId="0" applyFont="1" applyFill="1" applyBorder="1" applyAlignment="1">
      <alignment vertical="center" wrapText="1"/>
    </xf>
    <xf numFmtId="0" fontId="6" fillId="18" borderId="3" xfId="0" applyFont="1" applyFill="1" applyBorder="1" applyAlignment="1">
      <alignment horizontal="center" vertical="center" wrapText="1"/>
    </xf>
    <xf numFmtId="0" fontId="6" fillId="18" borderId="3" xfId="0" applyFont="1" applyFill="1" applyBorder="1" applyAlignment="1">
      <alignment vertical="center" wrapText="1"/>
    </xf>
    <xf numFmtId="0" fontId="6" fillId="18" borderId="3" xfId="0" applyFont="1" applyFill="1" applyBorder="1" applyAlignment="1">
      <alignment vertical="center"/>
    </xf>
    <xf numFmtId="0" fontId="6" fillId="18" borderId="3" xfId="0" applyFont="1" applyFill="1" applyBorder="1" applyAlignment="1">
      <alignment horizontal="justify" vertical="center" wrapText="1"/>
    </xf>
    <xf numFmtId="0" fontId="0" fillId="18" borderId="3" xfId="0" applyFill="1" applyBorder="1" applyAlignment="1">
      <alignment horizontal="center" vertical="center" wrapText="1"/>
    </xf>
    <xf numFmtId="0" fontId="6" fillId="19" borderId="2" xfId="0" applyFont="1" applyFill="1" applyBorder="1" applyAlignment="1">
      <alignment horizontal="center" vertical="center" wrapText="1"/>
    </xf>
    <xf numFmtId="0" fontId="6" fillId="19" borderId="2" xfId="0" applyFont="1" applyFill="1" applyBorder="1" applyAlignment="1">
      <alignment vertical="center" wrapText="1"/>
    </xf>
    <xf numFmtId="0" fontId="6" fillId="19" borderId="2" xfId="0" applyFont="1" applyFill="1" applyBorder="1" applyAlignment="1">
      <alignment horizontal="center" vertical="center"/>
    </xf>
    <xf numFmtId="0" fontId="6" fillId="19" borderId="2" xfId="0" applyFont="1" applyFill="1" applyBorder="1" applyAlignment="1">
      <alignment vertical="center"/>
    </xf>
    <xf numFmtId="165" fontId="6" fillId="19" borderId="2" xfId="1"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9" borderId="8" xfId="0" applyFont="1" applyFill="1" applyBorder="1" applyAlignment="1">
      <alignment vertical="center" wrapText="1"/>
    </xf>
    <xf numFmtId="0" fontId="6" fillId="19" borderId="8" xfId="0" applyFont="1" applyFill="1" applyBorder="1" applyAlignment="1">
      <alignment horizontal="center" vertical="center"/>
    </xf>
    <xf numFmtId="0" fontId="6" fillId="19" borderId="8" xfId="0" applyFont="1" applyFill="1" applyBorder="1" applyAlignment="1">
      <alignment vertical="center"/>
    </xf>
    <xf numFmtId="0" fontId="6" fillId="19" borderId="8" xfId="0" applyFont="1" applyFill="1" applyBorder="1" applyAlignment="1">
      <alignment horizontal="justify" vertical="center" wrapText="1"/>
    </xf>
    <xf numFmtId="165" fontId="6" fillId="19" borderId="8" xfId="1"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9" borderId="1" xfId="0" applyFont="1" applyFill="1" applyBorder="1" applyAlignment="1">
      <alignment vertical="center" wrapText="1"/>
    </xf>
    <xf numFmtId="0" fontId="6" fillId="19" borderId="1" xfId="0" applyFont="1" applyFill="1" applyBorder="1" applyAlignment="1">
      <alignment horizontal="center" vertical="center"/>
    </xf>
    <xf numFmtId="0" fontId="6" fillId="19" borderId="1" xfId="0" applyFont="1" applyFill="1" applyBorder="1" applyAlignment="1">
      <alignment vertical="center"/>
    </xf>
    <xf numFmtId="0" fontId="6" fillId="19" borderId="1" xfId="0" applyFont="1" applyFill="1" applyBorder="1" applyAlignment="1">
      <alignment horizontal="justify" vertical="center" wrapText="1"/>
    </xf>
    <xf numFmtId="165" fontId="6" fillId="19" borderId="1" xfId="1" applyFont="1" applyFill="1" applyBorder="1" applyAlignment="1">
      <alignment horizontal="center" vertical="center" wrapText="1"/>
    </xf>
    <xf numFmtId="0" fontId="6" fillId="19" borderId="3" xfId="0" applyFont="1" applyFill="1" applyBorder="1" applyAlignment="1">
      <alignment vertical="center" wrapText="1"/>
    </xf>
    <xf numFmtId="0" fontId="6" fillId="19" borderId="3" xfId="0" applyFont="1" applyFill="1" applyBorder="1" applyAlignment="1">
      <alignment horizontal="center" vertical="center"/>
    </xf>
    <xf numFmtId="0" fontId="6" fillId="19" borderId="3" xfId="0" applyFont="1" applyFill="1" applyBorder="1" applyAlignment="1">
      <alignment vertical="center"/>
    </xf>
    <xf numFmtId="0" fontId="6" fillId="19" borderId="3" xfId="0" applyFont="1" applyFill="1" applyBorder="1" applyAlignment="1">
      <alignment horizontal="justify" vertical="center" wrapText="1"/>
    </xf>
    <xf numFmtId="0" fontId="0" fillId="19" borderId="3" xfId="0" applyFill="1" applyBorder="1" applyAlignment="1">
      <alignment horizontal="center" vertical="center" wrapText="1"/>
    </xf>
    <xf numFmtId="0" fontId="9" fillId="3" borderId="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6" fillId="3" borderId="7" xfId="0" applyFont="1" applyFill="1" applyBorder="1" applyAlignment="1">
      <alignment horizontal="center" vertical="center"/>
    </xf>
    <xf numFmtId="0" fontId="9" fillId="3" borderId="7"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9" fillId="11" borderId="17" xfId="0" applyFont="1" applyFill="1" applyBorder="1" applyAlignment="1">
      <alignment horizontal="center" vertical="center" wrapText="1"/>
    </xf>
    <xf numFmtId="165" fontId="6" fillId="15" borderId="1" xfId="1" applyFont="1" applyFill="1" applyBorder="1" applyAlignment="1">
      <alignment vertical="center" wrapText="1"/>
    </xf>
    <xf numFmtId="0" fontId="0" fillId="7" borderId="11" xfId="0" applyFill="1" applyBorder="1" applyAlignment="1">
      <alignment horizontal="center" vertical="center" wrapText="1"/>
    </xf>
    <xf numFmtId="0" fontId="6" fillId="11" borderId="17" xfId="0" applyFont="1" applyFill="1" applyBorder="1" applyAlignment="1">
      <alignment vertical="center" wrapText="1"/>
    </xf>
    <xf numFmtId="0" fontId="6" fillId="11" borderId="36" xfId="0" applyFont="1" applyFill="1" applyBorder="1" applyAlignment="1">
      <alignment horizontal="center" vertical="center" wrapText="1"/>
    </xf>
    <xf numFmtId="0" fontId="6" fillId="11" borderId="17" xfId="0" applyFont="1" applyFill="1" applyBorder="1" applyAlignment="1">
      <alignment vertical="center"/>
    </xf>
    <xf numFmtId="165" fontId="6" fillId="0" borderId="0" xfId="0" applyNumberFormat="1" applyFont="1" applyAlignment="1">
      <alignment horizontal="center" vertical="center"/>
    </xf>
    <xf numFmtId="0" fontId="6" fillId="5" borderId="0" xfId="0" applyFont="1" applyFill="1" applyAlignment="1">
      <alignment horizontal="center" vertical="center"/>
    </xf>
    <xf numFmtId="0" fontId="6" fillId="9" borderId="2" xfId="0" applyFont="1" applyFill="1" applyBorder="1" applyAlignment="1">
      <alignment horizontal="center" vertical="center" wrapText="1"/>
    </xf>
    <xf numFmtId="0" fontId="6" fillId="12" borderId="1" xfId="0" applyFont="1" applyFill="1" applyBorder="1" applyAlignment="1">
      <alignment horizontal="justify" vertical="center" wrapText="1"/>
    </xf>
    <xf numFmtId="9" fontId="6" fillId="7" borderId="1" xfId="0" applyNumberFormat="1" applyFont="1" applyFill="1" applyBorder="1" applyAlignment="1">
      <alignment horizontal="center" vertical="center" wrapText="1"/>
    </xf>
    <xf numFmtId="0" fontId="6" fillId="9" borderId="8" xfId="0" applyFont="1" applyFill="1" applyBorder="1" applyAlignment="1">
      <alignment horizontal="justify" vertical="center" wrapText="1"/>
    </xf>
    <xf numFmtId="165" fontId="6" fillId="9" borderId="11" xfId="1" applyFont="1" applyFill="1" applyBorder="1" applyAlignment="1">
      <alignment vertical="center" wrapText="1"/>
    </xf>
    <xf numFmtId="0" fontId="6" fillId="19" borderId="2" xfId="0" applyFont="1" applyFill="1" applyBorder="1" applyAlignment="1">
      <alignment horizontal="left" vertical="top" wrapText="1"/>
    </xf>
    <xf numFmtId="0" fontId="11" fillId="16" borderId="1" xfId="0" applyFont="1" applyFill="1" applyBorder="1" applyAlignment="1">
      <alignment horizontal="justify" vertical="center" wrapText="1"/>
    </xf>
    <xf numFmtId="0" fontId="6" fillId="13" borderId="17" xfId="0" applyFont="1" applyFill="1" applyBorder="1" applyAlignment="1">
      <alignment horizontal="center" vertical="center" wrapText="1"/>
    </xf>
    <xf numFmtId="0" fontId="6" fillId="3" borderId="44" xfId="0" applyFont="1" applyFill="1" applyBorder="1" applyAlignment="1">
      <alignment horizontal="center" vertical="center"/>
    </xf>
    <xf numFmtId="0" fontId="6" fillId="14" borderId="1" xfId="0" applyFont="1" applyFill="1" applyBorder="1" applyAlignment="1">
      <alignment horizontal="justify" vertical="center" wrapText="1"/>
    </xf>
    <xf numFmtId="0" fontId="6" fillId="15" borderId="17"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3" borderId="11" xfId="0" applyFont="1" applyFill="1" applyBorder="1" applyAlignment="1">
      <alignment vertical="center"/>
    </xf>
    <xf numFmtId="0" fontId="11" fillId="13" borderId="1" xfId="0" applyFont="1" applyFill="1" applyBorder="1" applyAlignment="1">
      <alignment vertical="center" wrapText="1"/>
    </xf>
    <xf numFmtId="0" fontId="6" fillId="11" borderId="12" xfId="0" applyFont="1" applyFill="1" applyBorder="1" applyAlignment="1">
      <alignment vertical="center" wrapText="1"/>
    </xf>
    <xf numFmtId="0" fontId="11" fillId="16" borderId="8" xfId="0" applyFont="1" applyFill="1" applyBorder="1" applyAlignment="1">
      <alignment horizontal="justify" vertical="center" wrapText="1"/>
    </xf>
    <xf numFmtId="9" fontId="6" fillId="15" borderId="8" xfId="0" applyNumberFormat="1" applyFont="1" applyFill="1" applyBorder="1" applyAlignment="1">
      <alignment horizontal="center" vertical="center" wrapText="1"/>
    </xf>
    <xf numFmtId="0" fontId="6" fillId="15" borderId="17" xfId="0" applyFont="1" applyFill="1" applyBorder="1" applyAlignment="1">
      <alignment vertical="center"/>
    </xf>
    <xf numFmtId="0" fontId="6" fillId="15" borderId="11" xfId="0" applyFont="1" applyFill="1" applyBorder="1" applyAlignment="1">
      <alignment horizontal="left" vertical="center" wrapText="1"/>
    </xf>
    <xf numFmtId="0" fontId="6" fillId="15" borderId="2" xfId="0" applyFont="1" applyFill="1" applyBorder="1" applyAlignment="1">
      <alignment horizontal="center" vertical="center" wrapText="1"/>
    </xf>
    <xf numFmtId="0" fontId="6" fillId="15" borderId="1" xfId="0" applyFont="1" applyFill="1" applyBorder="1" applyAlignment="1">
      <alignment vertical="center" wrapText="1"/>
    </xf>
    <xf numFmtId="0" fontId="6" fillId="15" borderId="1" xfId="0" applyFont="1" applyFill="1" applyBorder="1" applyAlignment="1">
      <alignment horizontal="center" vertical="center"/>
    </xf>
    <xf numFmtId="0" fontId="6" fillId="15" borderId="1" xfId="0" applyFont="1" applyFill="1" applyBorder="1" applyAlignment="1">
      <alignment horizontal="justify" vertical="center" wrapText="1"/>
    </xf>
    <xf numFmtId="0" fontId="6" fillId="15" borderId="3" xfId="0" applyFont="1" applyFill="1" applyBorder="1" applyAlignment="1">
      <alignment horizontal="justify" vertical="center" wrapText="1"/>
    </xf>
    <xf numFmtId="0" fontId="6" fillId="15" borderId="2" xfId="0" applyFont="1" applyFill="1" applyBorder="1" applyAlignment="1">
      <alignment horizontal="justify" vertical="center" wrapText="1"/>
    </xf>
    <xf numFmtId="0" fontId="6" fillId="15" borderId="8" xfId="0" applyFont="1" applyFill="1" applyBorder="1" applyAlignment="1">
      <alignment horizontal="justify" vertical="center" wrapText="1"/>
    </xf>
    <xf numFmtId="0" fontId="6" fillId="15" borderId="11" xfId="0" applyFont="1" applyFill="1" applyBorder="1" applyAlignment="1">
      <alignment horizontal="justify" vertical="center" wrapText="1"/>
    </xf>
    <xf numFmtId="0" fontId="6" fillId="15" borderId="11" xfId="0" applyFont="1" applyFill="1" applyBorder="1" applyAlignment="1">
      <alignment vertical="center" wrapText="1"/>
    </xf>
    <xf numFmtId="0" fontId="6" fillId="15" borderId="17" xfId="0" applyFont="1" applyFill="1" applyBorder="1" applyAlignment="1">
      <alignment vertical="center" wrapText="1"/>
    </xf>
    <xf numFmtId="165" fontId="6" fillId="15" borderId="8" xfId="1" applyFont="1" applyFill="1" applyBorder="1" applyAlignment="1">
      <alignment vertical="center" wrapText="1"/>
    </xf>
    <xf numFmtId="0" fontId="0" fillId="15" borderId="1" xfId="0" applyFill="1" applyBorder="1" applyAlignment="1">
      <alignment horizontal="center" vertical="center" wrapText="1"/>
    </xf>
    <xf numFmtId="165" fontId="6" fillId="7" borderId="8" xfId="1" applyFont="1" applyFill="1" applyBorder="1" applyAlignment="1">
      <alignment vertical="center" wrapText="1"/>
    </xf>
    <xf numFmtId="0" fontId="6" fillId="15" borderId="9" xfId="0" applyFont="1" applyFill="1" applyBorder="1" applyAlignment="1">
      <alignment horizontal="center" vertical="center" wrapText="1"/>
    </xf>
    <xf numFmtId="0" fontId="6" fillId="15" borderId="12" xfId="0" applyFont="1" applyFill="1" applyBorder="1" applyAlignment="1">
      <alignment horizontal="center" vertical="center" wrapText="1"/>
    </xf>
    <xf numFmtId="165" fontId="6" fillId="7" borderId="11" xfId="1" applyFont="1" applyFill="1" applyBorder="1" applyAlignment="1">
      <alignment horizontal="center" vertical="center" wrapText="1"/>
    </xf>
    <xf numFmtId="165" fontId="6" fillId="7" borderId="8" xfId="1" applyFont="1" applyFill="1" applyBorder="1" applyAlignment="1">
      <alignment horizontal="center" vertical="center" wrapText="1"/>
    </xf>
    <xf numFmtId="165" fontId="6" fillId="15" borderId="11" xfId="1" applyFont="1" applyFill="1" applyBorder="1" applyAlignment="1">
      <alignment horizontal="center" vertical="center" wrapText="1"/>
    </xf>
    <xf numFmtId="165" fontId="6" fillId="15" borderId="17" xfId="1" applyFont="1" applyFill="1" applyBorder="1" applyAlignment="1">
      <alignment horizontal="center" vertical="center" wrapText="1"/>
    </xf>
    <xf numFmtId="165" fontId="6" fillId="15" borderId="8" xfId="1" applyFont="1" applyFill="1" applyBorder="1" applyAlignment="1">
      <alignment horizontal="center" vertical="center" wrapText="1"/>
    </xf>
    <xf numFmtId="165" fontId="6" fillId="9" borderId="11" xfId="1" applyFont="1" applyFill="1" applyBorder="1" applyAlignment="1">
      <alignment horizontal="center" vertical="center" wrapText="1"/>
    </xf>
    <xf numFmtId="165" fontId="6" fillId="9" borderId="8" xfId="1" applyFont="1" applyFill="1" applyBorder="1" applyAlignment="1">
      <alignment horizontal="center" vertical="center" wrapText="1"/>
    </xf>
    <xf numFmtId="0" fontId="0" fillId="9" borderId="8" xfId="0" applyFill="1" applyBorder="1" applyAlignment="1">
      <alignment horizontal="center" vertical="center" wrapText="1"/>
    </xf>
    <xf numFmtId="165" fontId="6" fillId="7" borderId="1" xfId="1"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15" borderId="17" xfId="0" applyFont="1" applyFill="1" applyBorder="1" applyAlignment="1">
      <alignment horizontal="center" vertical="center"/>
    </xf>
    <xf numFmtId="0" fontId="6" fillId="15" borderId="8" xfId="0" applyFont="1" applyFill="1" applyBorder="1" applyAlignment="1">
      <alignment horizontal="center" vertical="center"/>
    </xf>
    <xf numFmtId="0" fontId="0" fillId="15" borderId="8" xfId="0" applyFill="1" applyBorder="1" applyAlignment="1">
      <alignment horizontal="center" vertical="center" wrapText="1"/>
    </xf>
    <xf numFmtId="0" fontId="6" fillId="15" borderId="11" xfId="0" applyFont="1" applyFill="1" applyBorder="1" applyAlignment="1">
      <alignment horizontal="center" vertical="center"/>
    </xf>
    <xf numFmtId="0" fontId="6" fillId="19" borderId="12"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0" fillId="20" borderId="8" xfId="0" applyFill="1" applyBorder="1" applyAlignment="1">
      <alignment horizontal="center" vertical="center" wrapText="1"/>
    </xf>
    <xf numFmtId="0" fontId="0" fillId="20" borderId="1" xfId="0" applyFill="1" applyBorder="1" applyAlignment="1">
      <alignment horizontal="center" vertical="center" wrapText="1"/>
    </xf>
    <xf numFmtId="165" fontId="6" fillId="20" borderId="1" xfId="1" applyFont="1" applyFill="1" applyBorder="1" applyAlignment="1">
      <alignment horizontal="center" vertical="center" wrapText="1"/>
    </xf>
    <xf numFmtId="3" fontId="15" fillId="0" borderId="0" xfId="0" applyNumberFormat="1" applyFont="1" applyAlignment="1">
      <alignment horizontal="right" vertical="center"/>
    </xf>
    <xf numFmtId="0" fontId="8" fillId="4" borderId="15" xfId="0" applyFont="1" applyFill="1" applyBorder="1" applyAlignment="1">
      <alignment horizontal="center" vertical="center" wrapText="1"/>
    </xf>
    <xf numFmtId="165" fontId="6" fillId="18" borderId="8" xfId="1" applyFont="1" applyFill="1" applyBorder="1" applyAlignment="1">
      <alignment horizontal="center" vertical="center" wrapText="1"/>
    </xf>
    <xf numFmtId="165" fontId="10" fillId="4" borderId="1" xfId="1" applyFont="1" applyFill="1" applyBorder="1" applyAlignment="1">
      <alignment horizontal="center" vertical="center" wrapText="1"/>
    </xf>
    <xf numFmtId="0" fontId="18" fillId="0" borderId="34" xfId="0" applyFont="1" applyBorder="1" applyAlignment="1">
      <alignment vertical="center" wrapText="1"/>
    </xf>
    <xf numFmtId="0" fontId="6" fillId="3" borderId="0" xfId="0" applyFont="1" applyFill="1" applyAlignment="1">
      <alignment horizontal="center" vertical="center" wrapText="1"/>
    </xf>
    <xf numFmtId="165" fontId="10" fillId="21" borderId="1" xfId="1" applyFont="1" applyFill="1" applyBorder="1" applyAlignment="1">
      <alignment horizontal="center" vertical="center" wrapText="1"/>
    </xf>
    <xf numFmtId="0" fontId="8" fillId="3" borderId="1" xfId="0" applyFont="1" applyFill="1" applyBorder="1" applyAlignment="1">
      <alignment vertical="center" wrapText="1"/>
    </xf>
    <xf numFmtId="0" fontId="6" fillId="3" borderId="43"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 xfId="0"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10"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9" fontId="6" fillId="0" borderId="1" xfId="2" applyFont="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21" borderId="0" xfId="0" applyFont="1" applyFill="1" applyAlignment="1">
      <alignment horizontal="center" vertical="center"/>
    </xf>
    <xf numFmtId="0" fontId="10" fillId="21" borderId="1" xfId="0" applyFont="1" applyFill="1" applyBorder="1" applyAlignment="1">
      <alignment horizontal="center" vertical="center" wrapText="1"/>
    </xf>
    <xf numFmtId="0" fontId="10" fillId="21" borderId="1" xfId="0" applyFont="1" applyFill="1" applyBorder="1" applyAlignment="1">
      <alignment horizontal="center" vertical="center"/>
    </xf>
    <xf numFmtId="167"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7" fontId="6" fillId="0" borderId="1" xfId="0" applyNumberFormat="1" applyFont="1" applyBorder="1" applyAlignment="1">
      <alignment horizontal="justify" vertical="center" wrapText="1"/>
    </xf>
    <xf numFmtId="167" fontId="10" fillId="0" borderId="1" xfId="0" applyNumberFormat="1" applyFont="1" applyBorder="1" applyAlignment="1">
      <alignment horizontal="justify" vertical="center" wrapText="1"/>
    </xf>
    <xf numFmtId="165" fontId="10" fillId="22" borderId="11" xfId="1" applyFont="1" applyFill="1" applyBorder="1" applyAlignment="1">
      <alignment horizontal="center" vertical="center" wrapText="1"/>
    </xf>
    <xf numFmtId="0" fontId="6" fillId="20" borderId="11" xfId="0" applyFont="1" applyFill="1" applyBorder="1" applyAlignment="1">
      <alignment horizontal="center" vertical="center" wrapText="1"/>
    </xf>
    <xf numFmtId="165" fontId="10" fillId="20" borderId="1" xfId="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6" fillId="20" borderId="8" xfId="0" applyFont="1" applyFill="1" applyBorder="1" applyAlignment="1">
      <alignment horizontal="center" vertical="center" wrapText="1"/>
    </xf>
    <xf numFmtId="165" fontId="6" fillId="20" borderId="8" xfId="1" applyFont="1" applyFill="1" applyBorder="1" applyAlignment="1">
      <alignment vertical="center" wrapText="1"/>
    </xf>
    <xf numFmtId="0" fontId="6" fillId="20" borderId="2" xfId="0" applyFont="1" applyFill="1" applyBorder="1" applyAlignment="1">
      <alignment horizontal="center" vertical="center" wrapText="1"/>
    </xf>
    <xf numFmtId="0" fontId="8" fillId="22" borderId="15" xfId="0" applyFont="1" applyFill="1" applyBorder="1" applyAlignment="1">
      <alignment horizontal="center" vertical="center" wrapText="1"/>
    </xf>
    <xf numFmtId="165" fontId="10" fillId="22" borderId="1" xfId="1" applyFont="1" applyFill="1" applyBorder="1" applyAlignment="1">
      <alignment horizontal="center" vertical="center" wrapText="1"/>
    </xf>
    <xf numFmtId="165" fontId="6" fillId="22" borderId="1" xfId="1" applyFont="1" applyFill="1" applyBorder="1" applyAlignment="1">
      <alignment vertical="center" wrapText="1"/>
    </xf>
    <xf numFmtId="165" fontId="6" fillId="22" borderId="8" xfId="1" applyFont="1" applyFill="1" applyBorder="1" applyAlignment="1">
      <alignment vertical="center" wrapText="1"/>
    </xf>
    <xf numFmtId="0" fontId="6" fillId="22" borderId="2" xfId="0" applyFont="1" applyFill="1" applyBorder="1" applyAlignment="1">
      <alignment horizontal="center" vertical="center" wrapText="1"/>
    </xf>
    <xf numFmtId="165" fontId="6" fillId="22" borderId="1" xfId="1" applyFont="1" applyFill="1" applyBorder="1" applyAlignment="1">
      <alignment horizontal="center" vertical="center" wrapText="1"/>
    </xf>
    <xf numFmtId="165" fontId="6" fillId="22" borderId="8" xfId="1"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0" borderId="8" xfId="0" applyFont="1" applyFill="1" applyBorder="1" applyAlignment="1">
      <alignment horizontal="justify" vertical="center" wrapText="1"/>
    </xf>
    <xf numFmtId="165" fontId="6" fillId="20" borderId="8" xfId="1" applyFont="1" applyFill="1" applyBorder="1" applyAlignment="1">
      <alignment horizontal="center" vertical="center" wrapText="1"/>
    </xf>
    <xf numFmtId="9" fontId="6" fillId="20" borderId="11" xfId="0" applyNumberFormat="1" applyFont="1" applyFill="1" applyBorder="1" applyAlignment="1">
      <alignment horizontal="center" vertical="center" wrapText="1"/>
    </xf>
    <xf numFmtId="0" fontId="6" fillId="13" borderId="23" xfId="0" applyFont="1" applyFill="1" applyBorder="1" applyAlignment="1">
      <alignment horizontal="center" vertical="center"/>
    </xf>
    <xf numFmtId="0" fontId="6" fillId="13" borderId="0" xfId="0" applyFont="1" applyFill="1" applyAlignment="1">
      <alignment horizontal="center" vertical="center"/>
    </xf>
    <xf numFmtId="0" fontId="6" fillId="3" borderId="0" xfId="0" applyFont="1" applyFill="1" applyAlignment="1">
      <alignment horizontal="center" vertical="center"/>
    </xf>
    <xf numFmtId="0" fontId="0" fillId="20" borderId="3" xfId="0" applyFill="1" applyBorder="1" applyAlignment="1">
      <alignment horizontal="center" vertical="center" wrapText="1"/>
    </xf>
    <xf numFmtId="0" fontId="0" fillId="19" borderId="11" xfId="0" applyFill="1" applyBorder="1" applyAlignment="1">
      <alignment horizontal="center" vertical="center" wrapText="1"/>
    </xf>
    <xf numFmtId="0" fontId="9" fillId="3" borderId="0" xfId="0" applyFont="1" applyFill="1" applyAlignment="1">
      <alignment horizontal="center" vertical="center"/>
    </xf>
    <xf numFmtId="165" fontId="6" fillId="19" borderId="11" xfId="1" applyFont="1" applyFill="1" applyBorder="1" applyAlignment="1">
      <alignment horizontal="center" vertical="center" wrapText="1"/>
    </xf>
    <xf numFmtId="165" fontId="6" fillId="19" borderId="12" xfId="1" applyFont="1" applyFill="1" applyBorder="1" applyAlignment="1">
      <alignment horizontal="center" vertical="center" wrapText="1"/>
    </xf>
    <xf numFmtId="165" fontId="6" fillId="19" borderId="17" xfId="1" applyFont="1" applyFill="1" applyBorder="1" applyAlignment="1">
      <alignment horizontal="center" vertical="center" wrapText="1"/>
    </xf>
    <xf numFmtId="9" fontId="6" fillId="0" borderId="1" xfId="2" applyFont="1" applyBorder="1" applyAlignment="1">
      <alignment horizontal="justify" vertical="center" wrapText="1"/>
    </xf>
    <xf numFmtId="0" fontId="6" fillId="20" borderId="1" xfId="0" applyFont="1" applyFill="1" applyBorder="1" applyAlignment="1">
      <alignment horizontal="justify" vertical="center" wrapText="1"/>
    </xf>
    <xf numFmtId="9" fontId="6" fillId="20" borderId="11" xfId="2" applyFont="1" applyFill="1" applyBorder="1" applyAlignment="1">
      <alignment horizontal="center" vertical="center" wrapText="1"/>
    </xf>
    <xf numFmtId="9" fontId="10" fillId="0" borderId="1" xfId="0" applyNumberFormat="1" applyFont="1" applyBorder="1" applyAlignment="1">
      <alignment horizontal="center" vertical="center" wrapText="1"/>
    </xf>
    <xf numFmtId="9" fontId="10" fillId="0" borderId="1" xfId="2" applyFont="1" applyBorder="1" applyAlignment="1">
      <alignment horizontal="center" vertical="center" wrapText="1"/>
    </xf>
    <xf numFmtId="9" fontId="6" fillId="20" borderId="1" xfId="2"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6" fillId="9" borderId="1" xfId="1" applyNumberFormat="1" applyFont="1" applyFill="1" applyBorder="1" applyAlignment="1">
      <alignment horizontal="center" vertical="center" wrapText="1"/>
    </xf>
    <xf numFmtId="0" fontId="6" fillId="18" borderId="1" xfId="1" applyNumberFormat="1" applyFont="1" applyFill="1" applyBorder="1" applyAlignment="1">
      <alignment horizontal="center" vertical="center" wrapText="1"/>
    </xf>
    <xf numFmtId="0" fontId="6" fillId="19" borderId="1" xfId="1" applyNumberFormat="1" applyFont="1" applyFill="1" applyBorder="1" applyAlignment="1">
      <alignment horizontal="center" vertical="center" wrapText="1"/>
    </xf>
    <xf numFmtId="0" fontId="6" fillId="19" borderId="11" xfId="1" applyNumberFormat="1" applyFont="1" applyFill="1" applyBorder="1" applyAlignment="1">
      <alignment horizontal="center" vertical="center" wrapText="1"/>
    </xf>
    <xf numFmtId="0" fontId="6" fillId="7" borderId="1" xfId="2"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6" fillId="5" borderId="1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0" fillId="20" borderId="1" xfId="1" applyNumberFormat="1" applyFont="1" applyFill="1" applyBorder="1" applyAlignment="1">
      <alignment horizontal="center" vertical="center" wrapText="1"/>
    </xf>
    <xf numFmtId="9" fontId="10" fillId="20" borderId="1" xfId="2" applyFont="1" applyFill="1" applyBorder="1" applyAlignment="1">
      <alignment horizontal="center" vertical="center" wrapText="1"/>
    </xf>
    <xf numFmtId="0" fontId="9" fillId="4" borderId="1" xfId="0" applyFont="1" applyFill="1" applyBorder="1" applyAlignment="1">
      <alignment vertical="center" wrapText="1"/>
    </xf>
    <xf numFmtId="167" fontId="6" fillId="9" borderId="1" xfId="0" applyNumberFormat="1" applyFont="1" applyFill="1" applyBorder="1" applyAlignment="1">
      <alignment vertical="center" wrapText="1"/>
    </xf>
    <xf numFmtId="0" fontId="0" fillId="0" borderId="1" xfId="0" applyBorder="1" applyAlignment="1">
      <alignment horizontal="center"/>
    </xf>
    <xf numFmtId="0" fontId="27" fillId="22" borderId="1" xfId="0" applyFont="1" applyFill="1" applyBorder="1" applyAlignment="1">
      <alignment horizontal="center"/>
    </xf>
    <xf numFmtId="0" fontId="27" fillId="22" borderId="13" xfId="0" applyFont="1" applyFill="1" applyBorder="1"/>
    <xf numFmtId="0" fontId="0" fillId="0" borderId="49" xfId="0" applyBorder="1"/>
    <xf numFmtId="0" fontId="27" fillId="22" borderId="13" xfId="0" applyFont="1" applyFill="1" applyBorder="1" applyAlignment="1">
      <alignment horizontal="center"/>
    </xf>
    <xf numFmtId="0" fontId="0" fillId="0" borderId="19" xfId="0" applyBorder="1"/>
    <xf numFmtId="0" fontId="0" fillId="0" borderId="7" xfId="0" applyBorder="1" applyAlignment="1">
      <alignment horizontal="center"/>
    </xf>
    <xf numFmtId="9" fontId="0" fillId="0" borderId="1" xfId="0" applyNumberFormat="1" applyBorder="1" applyAlignment="1">
      <alignment horizontal="center"/>
    </xf>
    <xf numFmtId="9" fontId="0" fillId="0" borderId="1" xfId="2" applyFont="1" applyBorder="1" applyAlignment="1">
      <alignment horizontal="center"/>
    </xf>
    <xf numFmtId="9" fontId="0" fillId="0" borderId="7" xfId="0" applyNumberFormat="1" applyBorder="1" applyAlignment="1">
      <alignment horizontal="center"/>
    </xf>
    <xf numFmtId="3" fontId="0" fillId="0" borderId="7" xfId="0" applyNumberFormat="1" applyBorder="1" applyAlignment="1">
      <alignment horizontal="center"/>
    </xf>
    <xf numFmtId="3" fontId="0" fillId="0" borderId="7" xfId="4" applyNumberFormat="1" applyFont="1" applyBorder="1" applyAlignment="1">
      <alignment horizontal="center" vertical="center"/>
    </xf>
    <xf numFmtId="9" fontId="0" fillId="0" borderId="10" xfId="2" applyFont="1" applyBorder="1" applyAlignment="1">
      <alignment horizontal="center"/>
    </xf>
    <xf numFmtId="9" fontId="0" fillId="0" borderId="10" xfId="0" applyNumberFormat="1" applyBorder="1" applyAlignment="1">
      <alignment horizontal="center"/>
    </xf>
    <xf numFmtId="0" fontId="27" fillId="22" borderId="50" xfId="0" applyFont="1" applyFill="1" applyBorder="1"/>
    <xf numFmtId="0" fontId="0" fillId="0" borderId="13" xfId="0" applyBorder="1" applyAlignment="1">
      <alignment horizontal="center"/>
    </xf>
    <xf numFmtId="0" fontId="0" fillId="0" borderId="11" xfId="0" applyBorder="1" applyAlignment="1">
      <alignment horizontal="center"/>
    </xf>
    <xf numFmtId="9" fontId="0" fillId="22" borderId="1" xfId="0" applyNumberFormat="1" applyFill="1" applyBorder="1" applyAlignment="1">
      <alignment horizontal="center"/>
    </xf>
    <xf numFmtId="3" fontId="0" fillId="22" borderId="7" xfId="0" applyNumberFormat="1" applyFill="1" applyBorder="1" applyAlignment="1">
      <alignment horizontal="center"/>
    </xf>
    <xf numFmtId="0" fontId="0" fillId="23" borderId="1" xfId="0" applyFill="1" applyBorder="1" applyAlignment="1">
      <alignment horizontal="center"/>
    </xf>
    <xf numFmtId="0" fontId="0" fillId="23" borderId="7" xfId="0" applyFill="1" applyBorder="1" applyAlignment="1">
      <alignment horizontal="center"/>
    </xf>
    <xf numFmtId="0" fontId="0" fillId="23" borderId="44" xfId="0" applyFill="1" applyBorder="1" applyAlignment="1">
      <alignment horizontal="center"/>
    </xf>
    <xf numFmtId="0" fontId="0" fillId="23" borderId="11" xfId="0" applyFill="1" applyBorder="1" applyAlignment="1">
      <alignment horizontal="center"/>
    </xf>
    <xf numFmtId="0" fontId="0" fillId="23" borderId="13" xfId="0" applyFill="1" applyBorder="1" applyAlignment="1">
      <alignment horizontal="center"/>
    </xf>
    <xf numFmtId="0" fontId="0" fillId="23" borderId="52" xfId="0" applyFill="1" applyBorder="1" applyAlignment="1">
      <alignment horizontal="center"/>
    </xf>
    <xf numFmtId="3" fontId="0" fillId="22" borderId="3" xfId="0" applyNumberFormat="1" applyFill="1" applyBorder="1" applyAlignment="1">
      <alignment horizontal="center"/>
    </xf>
    <xf numFmtId="9" fontId="0" fillId="0" borderId="44" xfId="0" applyNumberFormat="1" applyBorder="1" applyAlignment="1">
      <alignment horizontal="center"/>
    </xf>
    <xf numFmtId="9" fontId="0" fillId="0" borderId="11" xfId="0" applyNumberFormat="1" applyBorder="1" applyAlignment="1">
      <alignment horizontal="center"/>
    </xf>
    <xf numFmtId="9" fontId="0" fillId="22" borderId="3" xfId="0" applyNumberFormat="1" applyFill="1" applyBorder="1" applyAlignment="1">
      <alignment horizontal="center"/>
    </xf>
    <xf numFmtId="0" fontId="0" fillId="22" borderId="3" xfId="0" applyFill="1" applyBorder="1" applyAlignment="1">
      <alignment horizontal="center"/>
    </xf>
    <xf numFmtId="9" fontId="0" fillId="22" borderId="3" xfId="0" applyNumberFormat="1" applyFill="1" applyBorder="1" applyAlignment="1">
      <alignment horizontal="center" vertical="center"/>
    </xf>
    <xf numFmtId="0" fontId="0" fillId="22" borderId="51" xfId="0" applyFill="1" applyBorder="1" applyAlignment="1">
      <alignment horizontal="center"/>
    </xf>
    <xf numFmtId="0" fontId="0" fillId="0" borderId="35" xfId="0" applyBorder="1"/>
    <xf numFmtId="0" fontId="0" fillId="0" borderId="54" xfId="0" applyBorder="1"/>
    <xf numFmtId="0" fontId="0" fillId="0" borderId="45" xfId="0" applyBorder="1"/>
    <xf numFmtId="0" fontId="0" fillId="0" borderId="55" xfId="0" applyBorder="1"/>
    <xf numFmtId="165" fontId="6" fillId="20" borderId="1" xfId="0" applyNumberFormat="1" applyFont="1" applyFill="1" applyBorder="1" applyAlignment="1">
      <alignment horizontal="center" vertical="center" wrapText="1"/>
    </xf>
    <xf numFmtId="166" fontId="6" fillId="9" borderId="1" xfId="1" applyNumberFormat="1" applyFont="1" applyFill="1" applyBorder="1" applyAlignment="1">
      <alignment horizontal="center" vertical="center" wrapText="1"/>
    </xf>
    <xf numFmtId="165" fontId="6" fillId="20" borderId="12" xfId="0" applyNumberFormat="1" applyFont="1" applyFill="1" applyBorder="1" applyAlignment="1">
      <alignment horizontal="center" vertical="center" wrapText="1"/>
    </xf>
    <xf numFmtId="49" fontId="22" fillId="10" borderId="25" xfId="0" applyNumberFormat="1" applyFont="1" applyFill="1" applyBorder="1" applyAlignment="1">
      <alignment vertical="center"/>
    </xf>
    <xf numFmtId="0" fontId="8" fillId="24" borderId="1" xfId="0" applyFont="1" applyFill="1" applyBorder="1" applyAlignment="1">
      <alignment horizontal="justify" vertical="center" wrapText="1"/>
    </xf>
    <xf numFmtId="0" fontId="6" fillId="0" borderId="1" xfId="1" applyNumberFormat="1" applyFont="1" applyBorder="1" applyAlignment="1">
      <alignment horizontal="center" vertical="center" wrapText="1"/>
    </xf>
    <xf numFmtId="165" fontId="6" fillId="20" borderId="11" xfId="1" applyFont="1" applyFill="1" applyBorder="1" applyAlignment="1">
      <alignment horizontal="center" vertical="center" wrapText="1"/>
    </xf>
    <xf numFmtId="165" fontId="6" fillId="20" borderId="17" xfId="1" applyFont="1" applyFill="1" applyBorder="1" applyAlignment="1">
      <alignment horizontal="center" vertical="center" wrapText="1"/>
    </xf>
    <xf numFmtId="10" fontId="6" fillId="22" borderId="8" xfId="2" applyNumberFormat="1" applyFont="1" applyFill="1" applyBorder="1" applyAlignment="1">
      <alignment vertical="center" wrapText="1"/>
    </xf>
    <xf numFmtId="10" fontId="10" fillId="22" borderId="1" xfId="2" applyNumberFormat="1" applyFont="1" applyFill="1" applyBorder="1" applyAlignment="1">
      <alignment horizontal="center" vertical="center" wrapText="1"/>
    </xf>
    <xf numFmtId="41" fontId="6" fillId="20" borderId="1" xfId="5" applyFont="1" applyFill="1" applyBorder="1" applyAlignment="1">
      <alignment horizontal="center" vertical="center" wrapText="1"/>
    </xf>
    <xf numFmtId="0" fontId="6" fillId="13" borderId="8" xfId="0" applyFont="1" applyFill="1" applyBorder="1" applyAlignment="1">
      <alignment horizontal="center" vertical="center" wrapText="1"/>
    </xf>
    <xf numFmtId="3" fontId="0" fillId="0" borderId="0" xfId="0" applyNumberFormat="1"/>
    <xf numFmtId="3" fontId="35" fillId="0" borderId="1" xfId="0" applyNumberFormat="1" applyFont="1" applyBorder="1" applyAlignment="1">
      <alignment horizontal="center"/>
    </xf>
    <xf numFmtId="0" fontId="35" fillId="0" borderId="1" xfId="0" applyFont="1" applyBorder="1" applyAlignment="1">
      <alignment horizontal="center"/>
    </xf>
    <xf numFmtId="9" fontId="35" fillId="0" borderId="13" xfId="2" applyFont="1" applyBorder="1" applyAlignment="1">
      <alignment horizontal="center"/>
    </xf>
    <xf numFmtId="0" fontId="34" fillId="22" borderId="50" xfId="0" applyFont="1" applyFill="1" applyBorder="1"/>
    <xf numFmtId="9" fontId="35" fillId="25" borderId="51" xfId="2" applyFont="1" applyFill="1" applyBorder="1" applyAlignment="1">
      <alignment horizontal="center"/>
    </xf>
    <xf numFmtId="0" fontId="9" fillId="0" borderId="49" xfId="0" applyFont="1" applyBorder="1"/>
    <xf numFmtId="3" fontId="34" fillId="22" borderId="3" xfId="0" applyNumberFormat="1" applyFont="1" applyFill="1" applyBorder="1" applyAlignment="1">
      <alignment horizontal="center"/>
    </xf>
    <xf numFmtId="3" fontId="35" fillId="5" borderId="1" xfId="0" applyNumberFormat="1" applyFont="1" applyFill="1" applyBorder="1" applyAlignment="1">
      <alignment horizontal="center"/>
    </xf>
    <xf numFmtId="165" fontId="6" fillId="0" borderId="0" xfId="1" applyFont="1" applyAlignment="1">
      <alignment vertical="center" wrapText="1"/>
    </xf>
    <xf numFmtId="165" fontId="6" fillId="0" borderId="1" xfId="1" applyFont="1" applyBorder="1" applyAlignment="1">
      <alignment vertical="center" wrapText="1"/>
    </xf>
    <xf numFmtId="0" fontId="6" fillId="13" borderId="12" xfId="0" applyFont="1" applyFill="1" applyBorder="1" applyAlignment="1">
      <alignment horizontal="center" vertical="center" wrapText="1"/>
    </xf>
    <xf numFmtId="0" fontId="6" fillId="13" borderId="12" xfId="0" applyFont="1" applyFill="1" applyBorder="1" applyAlignment="1">
      <alignment horizontal="center" vertical="center"/>
    </xf>
    <xf numFmtId="0" fontId="6" fillId="9" borderId="17" xfId="0" applyFont="1" applyFill="1" applyBorder="1" applyAlignment="1">
      <alignment horizontal="center" vertical="center" wrapText="1"/>
    </xf>
    <xf numFmtId="0" fontId="6" fillId="20" borderId="1" xfId="0" applyFont="1" applyFill="1" applyBorder="1" applyAlignment="1">
      <alignment horizontal="center" vertical="center"/>
    </xf>
    <xf numFmtId="0" fontId="6" fillId="20" borderId="1" xfId="0" applyFont="1" applyFill="1" applyBorder="1" applyAlignment="1">
      <alignment vertical="center"/>
    </xf>
    <xf numFmtId="165" fontId="6" fillId="0" borderId="1" xfId="1" applyFont="1" applyFill="1" applyBorder="1" applyAlignment="1">
      <alignment vertical="center" wrapText="1"/>
    </xf>
    <xf numFmtId="165" fontId="6" fillId="0" borderId="1" xfId="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wrapText="1"/>
    </xf>
    <xf numFmtId="168" fontId="6" fillId="0" borderId="1" xfId="30" applyNumberFormat="1" applyFont="1" applyBorder="1" applyAlignment="1">
      <alignment vertical="center"/>
    </xf>
    <xf numFmtId="166" fontId="6" fillId="0" borderId="1" xfId="30" applyFont="1" applyBorder="1" applyAlignment="1">
      <alignment vertical="center"/>
    </xf>
    <xf numFmtId="0" fontId="6" fillId="0" borderId="1" xfId="0" applyFont="1" applyBorder="1"/>
    <xf numFmtId="170" fontId="6" fillId="0" borderId="1" xfId="0" applyNumberFormat="1" applyFont="1" applyBorder="1" applyAlignment="1">
      <alignment horizontal="center" vertical="center"/>
    </xf>
    <xf numFmtId="168" fontId="6" fillId="0" borderId="1" xfId="30" applyNumberFormat="1" applyFont="1" applyBorder="1"/>
    <xf numFmtId="166" fontId="6" fillId="0" borderId="1" xfId="0" applyNumberFormat="1" applyFont="1" applyBorder="1"/>
    <xf numFmtId="0" fontId="6" fillId="0" borderId="1" xfId="0" applyFont="1" applyBorder="1" applyAlignment="1">
      <alignment vertical="center" wrapText="1"/>
    </xf>
    <xf numFmtId="168" fontId="10" fillId="0" borderId="1" xfId="0" applyNumberFormat="1" applyFont="1" applyBorder="1" applyAlignment="1">
      <alignment horizontal="center" vertical="center"/>
    </xf>
    <xf numFmtId="170" fontId="10"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6" fillId="3" borderId="17" xfId="0" applyFont="1" applyFill="1" applyBorder="1" applyAlignment="1">
      <alignment vertical="center" wrapText="1"/>
    </xf>
    <xf numFmtId="0" fontId="6" fillId="3" borderId="8" xfId="0" applyFont="1" applyFill="1" applyBorder="1" applyAlignment="1">
      <alignment vertical="center" wrapText="1"/>
    </xf>
    <xf numFmtId="0" fontId="6" fillId="3" borderId="1" xfId="0" applyFont="1" applyFill="1" applyBorder="1" applyAlignment="1">
      <alignment vertical="center" wrapText="1"/>
    </xf>
    <xf numFmtId="0" fontId="9" fillId="0" borderId="1" xfId="0" applyFont="1" applyBorder="1" applyAlignment="1">
      <alignment horizont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xf numFmtId="0" fontId="9" fillId="27" borderId="1" xfId="0" applyFont="1" applyFill="1" applyBorder="1"/>
    <xf numFmtId="3" fontId="9" fillId="27" borderId="1" xfId="0" applyNumberFormat="1" applyFont="1" applyFill="1" applyBorder="1" applyAlignment="1">
      <alignment horizontal="center" vertical="center"/>
    </xf>
    <xf numFmtId="0" fontId="5" fillId="0" borderId="1" xfId="0" applyFont="1" applyBorder="1" applyAlignment="1">
      <alignment horizontal="left" vertical="center" wrapText="1"/>
    </xf>
    <xf numFmtId="3" fontId="5" fillId="0" borderId="1" xfId="0" applyNumberFormat="1" applyFont="1" applyBorder="1" applyAlignment="1">
      <alignment horizontal="center" vertical="center"/>
    </xf>
    <xf numFmtId="0" fontId="5" fillId="0" borderId="8" xfId="0" applyFont="1" applyBorder="1"/>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3" fontId="5" fillId="0" borderId="11" xfId="0" applyNumberFormat="1" applyFont="1" applyBorder="1" applyAlignment="1">
      <alignment horizontal="center" vertical="center"/>
    </xf>
    <xf numFmtId="0" fontId="5" fillId="0" borderId="1" xfId="0" applyFont="1" applyBorder="1" applyAlignment="1">
      <alignment wrapText="1"/>
    </xf>
    <xf numFmtId="0" fontId="10" fillId="0" borderId="1" xfId="0" applyFont="1" applyBorder="1" applyAlignment="1">
      <alignment horizontal="center"/>
    </xf>
    <xf numFmtId="2" fontId="0" fillId="0" borderId="0" xfId="0" applyNumberFormat="1"/>
    <xf numFmtId="4" fontId="0" fillId="0" borderId="0" xfId="0" applyNumberFormat="1"/>
    <xf numFmtId="3" fontId="6"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6" fillId="18" borderId="8" xfId="0" applyFont="1" applyFill="1" applyBorder="1" applyAlignment="1">
      <alignment vertical="center"/>
    </xf>
    <xf numFmtId="166" fontId="5" fillId="0" borderId="1" xfId="30" applyFont="1" applyBorder="1" applyAlignment="1">
      <alignment horizontal="center" vertical="center" wrapText="1"/>
    </xf>
    <xf numFmtId="166" fontId="0" fillId="0" borderId="0" xfId="0" applyNumberFormat="1"/>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166" fontId="5" fillId="0" borderId="8" xfId="30" applyFont="1" applyBorder="1" applyAlignment="1">
      <alignment horizontal="center" vertical="center" wrapText="1"/>
    </xf>
    <xf numFmtId="0" fontId="5" fillId="0" borderId="8" xfId="0" applyFont="1" applyBorder="1" applyAlignment="1">
      <alignment horizontal="left" vertical="center" wrapText="1"/>
    </xf>
    <xf numFmtId="0" fontId="5" fillId="0" borderId="17" xfId="0" applyFont="1" applyBorder="1" applyAlignment="1">
      <alignment horizontal="left" vertical="center" wrapText="1"/>
    </xf>
    <xf numFmtId="166" fontId="9" fillId="27" borderId="1" xfId="0" applyNumberFormat="1" applyFont="1" applyFill="1" applyBorder="1"/>
    <xf numFmtId="0" fontId="38" fillId="0" borderId="1" xfId="0" applyFont="1" applyBorder="1" applyAlignment="1">
      <alignment horizontal="left" vertical="center" wrapText="1"/>
    </xf>
    <xf numFmtId="166" fontId="38" fillId="0" borderId="1" xfId="30" applyFont="1" applyBorder="1" applyAlignment="1">
      <alignment horizontal="center" vertical="center" wrapText="1"/>
    </xf>
    <xf numFmtId="0" fontId="0" fillId="0" borderId="1" xfId="0" applyBorder="1"/>
    <xf numFmtId="0" fontId="0" fillId="3" borderId="1" xfId="0" applyFill="1" applyBorder="1" applyAlignment="1">
      <alignment horizontal="center"/>
    </xf>
    <xf numFmtId="3" fontId="0" fillId="3" borderId="7" xfId="0" applyNumberFormat="1" applyFill="1" applyBorder="1" applyAlignment="1">
      <alignment horizontal="center"/>
    </xf>
    <xf numFmtId="0" fontId="0" fillId="3" borderId="7" xfId="0" applyFill="1" applyBorder="1" applyAlignment="1">
      <alignment horizontal="center"/>
    </xf>
    <xf numFmtId="0" fontId="0" fillId="3" borderId="44" xfId="0" applyFill="1" applyBorder="1" applyAlignment="1">
      <alignment horizontal="center"/>
    </xf>
    <xf numFmtId="9" fontId="0" fillId="3" borderId="1" xfId="2" applyFont="1" applyFill="1" applyBorder="1" applyAlignment="1">
      <alignment horizontal="center"/>
    </xf>
    <xf numFmtId="0" fontId="0" fillId="3" borderId="11" xfId="0" applyFill="1" applyBorder="1" applyAlignment="1">
      <alignment horizontal="center"/>
    </xf>
    <xf numFmtId="1" fontId="0" fillId="3" borderId="1" xfId="2" applyNumberFormat="1" applyFont="1" applyFill="1" applyBorder="1" applyAlignment="1">
      <alignment horizontal="center"/>
    </xf>
    <xf numFmtId="2" fontId="0" fillId="3" borderId="1" xfId="2" applyNumberFormat="1" applyFont="1" applyFill="1" applyBorder="1" applyAlignment="1">
      <alignment horizontal="center"/>
    </xf>
    <xf numFmtId="1" fontId="27" fillId="26" borderId="0" xfId="0" applyNumberFormat="1" applyFont="1" applyFill="1" applyAlignment="1">
      <alignment vertical="center" wrapText="1"/>
    </xf>
    <xf numFmtId="3" fontId="27" fillId="3" borderId="1" xfId="0" applyNumberFormat="1" applyFont="1" applyFill="1" applyBorder="1" applyAlignment="1">
      <alignment horizontal="center"/>
    </xf>
    <xf numFmtId="1" fontId="27" fillId="3" borderId="8" xfId="0" applyNumberFormat="1" applyFont="1" applyFill="1" applyBorder="1" applyAlignment="1">
      <alignment horizontal="center"/>
    </xf>
    <xf numFmtId="1" fontId="27" fillId="26" borderId="1" xfId="0" applyNumberFormat="1" applyFont="1" applyFill="1" applyBorder="1" applyAlignment="1">
      <alignment horizontal="center" vertical="center" wrapText="1"/>
    </xf>
    <xf numFmtId="3" fontId="27" fillId="3" borderId="1" xfId="0" applyNumberFormat="1" applyFont="1" applyFill="1" applyBorder="1" applyAlignment="1">
      <alignment horizontal="center" vertical="center"/>
    </xf>
    <xf numFmtId="3" fontId="27" fillId="3" borderId="8" xfId="0" applyNumberFormat="1" applyFont="1" applyFill="1" applyBorder="1" applyAlignment="1">
      <alignment horizontal="center" vertical="center"/>
    </xf>
    <xf numFmtId="1" fontId="27" fillId="3" borderId="8" xfId="0" applyNumberFormat="1" applyFont="1" applyFill="1" applyBorder="1" applyAlignment="1">
      <alignment horizontal="center" vertical="center"/>
    </xf>
    <xf numFmtId="3" fontId="27" fillId="0" borderId="1" xfId="0" applyNumberFormat="1" applyFont="1" applyBorder="1" applyAlignment="1">
      <alignment horizontal="center" vertical="center"/>
    </xf>
    <xf numFmtId="1" fontId="27" fillId="0" borderId="1" xfId="0" applyNumberFormat="1" applyFont="1" applyBorder="1" applyAlignment="1">
      <alignment horizontal="center" vertical="center"/>
    </xf>
    <xf numFmtId="0" fontId="0" fillId="0" borderId="1" xfId="0" applyBorder="1" applyAlignment="1">
      <alignment horizontal="center" vertical="center"/>
    </xf>
    <xf numFmtId="0" fontId="0" fillId="23" borderId="1" xfId="0" applyFill="1" applyBorder="1"/>
    <xf numFmtId="0" fontId="27" fillId="0" borderId="1" xfId="0" applyFont="1" applyBorder="1"/>
    <xf numFmtId="1" fontId="27" fillId="0" borderId="1" xfId="0" applyNumberFormat="1" applyFont="1" applyBorder="1" applyAlignment="1">
      <alignment horizontal="center"/>
    </xf>
    <xf numFmtId="0" fontId="27" fillId="0" borderId="10" xfId="0" applyFont="1" applyBorder="1"/>
    <xf numFmtId="1" fontId="27" fillId="0" borderId="29" xfId="0" applyNumberFormat="1" applyFont="1" applyBorder="1" applyAlignment="1">
      <alignment horizontal="center"/>
    </xf>
    <xf numFmtId="0" fontId="27" fillId="0" borderId="29" xfId="0" applyFont="1" applyBorder="1"/>
    <xf numFmtId="1" fontId="27" fillId="0" borderId="7" xfId="0" applyNumberFormat="1" applyFont="1" applyBorder="1" applyAlignment="1">
      <alignment horizontal="center"/>
    </xf>
    <xf numFmtId="0" fontId="6" fillId="5" borderId="1" xfId="0" applyFont="1" applyFill="1" applyBorder="1" applyAlignment="1">
      <alignment horizontal="center" vertical="center"/>
    </xf>
    <xf numFmtId="0" fontId="0" fillId="7" borderId="1" xfId="0" applyFill="1" applyBorder="1"/>
    <xf numFmtId="0" fontId="27" fillId="22" borderId="1" xfId="0" applyFont="1" applyFill="1" applyBorder="1"/>
    <xf numFmtId="3" fontId="0" fillId="22" borderId="1" xfId="0" applyNumberFormat="1" applyFill="1" applyBorder="1" applyAlignment="1">
      <alignment horizontal="center"/>
    </xf>
    <xf numFmtId="165" fontId="10" fillId="24" borderId="1" xfId="3" applyFont="1" applyFill="1" applyBorder="1" applyAlignment="1">
      <alignment horizontal="center" vertical="center" wrapText="1"/>
    </xf>
    <xf numFmtId="165" fontId="6" fillId="0" borderId="1" xfId="3" applyFont="1" applyBorder="1" applyAlignment="1">
      <alignment horizontal="center" vertical="center" wrapText="1"/>
    </xf>
    <xf numFmtId="0" fontId="6" fillId="0" borderId="1" xfId="3" applyNumberFormat="1" applyFont="1" applyBorder="1" applyAlignment="1">
      <alignment horizontal="center" vertical="center" wrapText="1"/>
    </xf>
    <xf numFmtId="9" fontId="6" fillId="0" borderId="1" xfId="7" applyFont="1" applyBorder="1" applyAlignment="1">
      <alignment horizontal="center" vertical="center" wrapText="1"/>
    </xf>
    <xf numFmtId="0" fontId="14" fillId="29" borderId="64" xfId="0" applyFont="1" applyFill="1" applyBorder="1" applyAlignment="1">
      <alignment horizontal="center" vertical="center" wrapText="1"/>
    </xf>
    <xf numFmtId="0" fontId="14" fillId="29" borderId="2" xfId="0" applyFont="1" applyFill="1" applyBorder="1" applyAlignment="1">
      <alignment horizontal="center" vertical="center" wrapText="1"/>
    </xf>
    <xf numFmtId="0" fontId="7" fillId="29" borderId="2" xfId="0" applyFont="1" applyFill="1" applyBorder="1" applyAlignment="1">
      <alignment horizontal="center" vertical="center" wrapText="1"/>
    </xf>
    <xf numFmtId="0" fontId="14" fillId="17" borderId="2" xfId="0" applyFont="1" applyFill="1" applyBorder="1" applyAlignment="1">
      <alignment horizontal="center" vertical="center" wrapText="1"/>
    </xf>
    <xf numFmtId="0" fontId="14" fillId="30" borderId="65" xfId="0" applyFont="1" applyFill="1" applyBorder="1" applyAlignment="1">
      <alignment horizontal="center" vertical="center" wrapText="1"/>
    </xf>
    <xf numFmtId="0" fontId="11" fillId="29" borderId="1" xfId="0" applyFont="1" applyFill="1" applyBorder="1" applyAlignment="1">
      <alignment horizontal="justify" vertical="center" wrapText="1"/>
    </xf>
    <xf numFmtId="9" fontId="11" fillId="29" borderId="1" xfId="0" applyNumberFormat="1" applyFont="1" applyFill="1" applyBorder="1" applyAlignment="1">
      <alignment horizontal="center" vertical="center" wrapText="1"/>
    </xf>
    <xf numFmtId="9" fontId="11" fillId="29" borderId="1" xfId="2" applyFont="1" applyFill="1" applyBorder="1" applyAlignment="1">
      <alignment horizontal="center" vertical="center" wrapText="1"/>
    </xf>
    <xf numFmtId="9" fontId="11" fillId="17" borderId="1" xfId="2" applyFont="1" applyFill="1" applyBorder="1" applyAlignment="1">
      <alignment horizontal="center" vertical="center" wrapText="1"/>
    </xf>
    <xf numFmtId="9" fontId="6" fillId="23" borderId="13" xfId="0" applyNumberFormat="1" applyFont="1" applyFill="1" applyBorder="1" applyAlignment="1">
      <alignment horizontal="center" vertical="center"/>
    </xf>
    <xf numFmtId="10" fontId="11" fillId="29" borderId="1" xfId="0" applyNumberFormat="1" applyFont="1" applyFill="1" applyBorder="1" applyAlignment="1">
      <alignment horizontal="center" vertical="center" wrapText="1"/>
    </xf>
    <xf numFmtId="0" fontId="14" fillId="29" borderId="1" xfId="0" applyFont="1" applyFill="1" applyBorder="1" applyAlignment="1">
      <alignment horizontal="center" vertical="center" wrapText="1"/>
    </xf>
    <xf numFmtId="0" fontId="7" fillId="29" borderId="1" xfId="0" applyFont="1" applyFill="1" applyBorder="1" applyAlignment="1">
      <alignment horizontal="center" vertical="center" wrapText="1"/>
    </xf>
    <xf numFmtId="0" fontId="11" fillId="29" borderId="1" xfId="0" applyFont="1" applyFill="1" applyBorder="1" applyAlignment="1">
      <alignment horizontal="center" vertical="center" wrapText="1"/>
    </xf>
    <xf numFmtId="0" fontId="12" fillId="29" borderId="1" xfId="0" applyFont="1" applyFill="1" applyBorder="1" applyAlignment="1">
      <alignment horizontal="center" vertical="center" wrapText="1"/>
    </xf>
    <xf numFmtId="10" fontId="11" fillId="17" borderId="1" xfId="2" applyNumberFormat="1" applyFont="1" applyFill="1" applyBorder="1" applyAlignment="1">
      <alignment horizontal="center" vertical="center" wrapText="1"/>
    </xf>
    <xf numFmtId="10" fontId="6" fillId="23" borderId="13" xfId="0" applyNumberFormat="1" applyFont="1" applyFill="1" applyBorder="1" applyAlignment="1">
      <alignment horizontal="center" vertical="center"/>
    </xf>
    <xf numFmtId="9" fontId="12" fillId="29" borderId="1" xfId="0" applyNumberFormat="1" applyFont="1" applyFill="1" applyBorder="1" applyAlignment="1">
      <alignment horizontal="center" vertical="center" wrapText="1"/>
    </xf>
    <xf numFmtId="171" fontId="11" fillId="29" borderId="1" xfId="0" applyNumberFormat="1" applyFont="1" applyFill="1" applyBorder="1" applyAlignment="1">
      <alignment horizontal="center" vertical="center" wrapText="1"/>
    </xf>
    <xf numFmtId="2" fontId="11" fillId="29" borderId="1" xfId="0" applyNumberFormat="1" applyFont="1" applyFill="1" applyBorder="1" applyAlignment="1">
      <alignment horizontal="center" vertical="center" wrapText="1"/>
    </xf>
    <xf numFmtId="1" fontId="11" fillId="29" borderId="1" xfId="2" applyNumberFormat="1" applyFont="1" applyFill="1" applyBorder="1" applyAlignment="1">
      <alignment horizontal="center" vertical="center" wrapText="1"/>
    </xf>
    <xf numFmtId="0" fontId="11" fillId="29" borderId="3" xfId="0" applyFont="1" applyFill="1" applyBorder="1" applyAlignment="1">
      <alignment horizontal="justify" vertical="center" wrapText="1"/>
    </xf>
    <xf numFmtId="9" fontId="11" fillId="29" borderId="3" xfId="0" applyNumberFormat="1" applyFont="1" applyFill="1" applyBorder="1" applyAlignment="1">
      <alignment horizontal="center" vertical="center" wrapText="1"/>
    </xf>
    <xf numFmtId="9" fontId="11" fillId="29" borderId="3" xfId="2" applyFont="1" applyFill="1" applyBorder="1" applyAlignment="1">
      <alignment horizontal="center" vertical="center" wrapText="1"/>
    </xf>
    <xf numFmtId="9" fontId="11" fillId="17" borderId="3" xfId="2" applyFont="1" applyFill="1" applyBorder="1" applyAlignment="1">
      <alignment horizontal="center" vertical="center" wrapText="1"/>
    </xf>
    <xf numFmtId="9" fontId="6" fillId="23" borderId="51" xfId="0" applyNumberFormat="1" applyFont="1" applyFill="1" applyBorder="1" applyAlignment="1">
      <alignment horizontal="center" vertical="center"/>
    </xf>
    <xf numFmtId="0" fontId="14" fillId="31" borderId="42" xfId="0" applyFont="1" applyFill="1" applyBorder="1" applyAlignment="1">
      <alignment horizontal="center" vertical="center" wrapText="1"/>
    </xf>
    <xf numFmtId="0" fontId="14" fillId="31" borderId="8" xfId="0" applyFont="1" applyFill="1" applyBorder="1" applyAlignment="1">
      <alignment horizontal="center" vertical="center" wrapText="1"/>
    </xf>
    <xf numFmtId="0" fontId="7" fillId="31" borderId="8" xfId="0" applyFont="1" applyFill="1" applyBorder="1" applyAlignment="1">
      <alignment horizontal="center" vertical="center" wrapText="1"/>
    </xf>
    <xf numFmtId="0" fontId="0" fillId="0" borderId="8" xfId="0" applyBorder="1"/>
    <xf numFmtId="9" fontId="6" fillId="23" borderId="8" xfId="0" applyNumberFormat="1" applyFont="1" applyFill="1" applyBorder="1" applyAlignment="1">
      <alignment horizontal="center" vertical="center"/>
    </xf>
    <xf numFmtId="0" fontId="11" fillId="31" borderId="1" xfId="0" applyFont="1" applyFill="1" applyBorder="1" applyAlignment="1">
      <alignment horizontal="justify" vertical="center" wrapText="1"/>
    </xf>
    <xf numFmtId="9" fontId="11" fillId="31" borderId="1" xfId="0" applyNumberFormat="1" applyFont="1" applyFill="1" applyBorder="1" applyAlignment="1">
      <alignment horizontal="center" vertical="center" wrapText="1"/>
    </xf>
    <xf numFmtId="9" fontId="11" fillId="31" borderId="1" xfId="2" applyFont="1" applyFill="1" applyBorder="1" applyAlignment="1">
      <alignment horizontal="center" vertical="center" wrapText="1"/>
    </xf>
    <xf numFmtId="10" fontId="6" fillId="23" borderId="1" xfId="0" applyNumberFormat="1" applyFont="1" applyFill="1" applyBorder="1" applyAlignment="1">
      <alignment horizontal="center" vertical="center"/>
    </xf>
    <xf numFmtId="171" fontId="11" fillId="31" borderId="1" xfId="2" applyNumberFormat="1" applyFont="1" applyFill="1" applyBorder="1" applyAlignment="1">
      <alignment horizontal="center" vertical="center" wrapText="1"/>
    </xf>
    <xf numFmtId="9" fontId="6" fillId="23" borderId="1" xfId="0" applyNumberFormat="1" applyFont="1" applyFill="1" applyBorder="1" applyAlignment="1">
      <alignment horizontal="center" vertical="center"/>
    </xf>
    <xf numFmtId="1" fontId="11" fillId="31" borderId="1" xfId="2" applyNumberFormat="1" applyFont="1" applyFill="1" applyBorder="1" applyAlignment="1">
      <alignment horizontal="center" vertical="center" wrapText="1"/>
    </xf>
    <xf numFmtId="0" fontId="14" fillId="31" borderId="1" xfId="0" applyFont="1" applyFill="1" applyBorder="1" applyAlignment="1">
      <alignment horizontal="center" vertical="center" wrapText="1"/>
    </xf>
    <xf numFmtId="0" fontId="7" fillId="31" borderId="1" xfId="0" applyFont="1" applyFill="1" applyBorder="1" applyAlignment="1">
      <alignment horizontal="center" vertical="center" wrapText="1"/>
    </xf>
    <xf numFmtId="171" fontId="11" fillId="31" borderId="1" xfId="0" applyNumberFormat="1" applyFont="1" applyFill="1" applyBorder="1" applyAlignment="1">
      <alignment horizontal="center" vertical="center" wrapText="1"/>
    </xf>
    <xf numFmtId="10" fontId="11" fillId="31" borderId="1" xfId="0" applyNumberFormat="1" applyFont="1" applyFill="1" applyBorder="1" applyAlignment="1">
      <alignment horizontal="center" vertical="center" wrapText="1"/>
    </xf>
    <xf numFmtId="0" fontId="11" fillId="31" borderId="1" xfId="0" applyFont="1" applyFill="1" applyBorder="1" applyAlignment="1">
      <alignment horizontal="center" vertical="center" wrapText="1"/>
    </xf>
    <xf numFmtId="10" fontId="6" fillId="32" borderId="1" xfId="0" applyNumberFormat="1" applyFont="1" applyFill="1" applyBorder="1" applyAlignment="1">
      <alignment horizontal="center" vertical="center"/>
    </xf>
    <xf numFmtId="1" fontId="0" fillId="0" borderId="0" xfId="0" applyNumberFormat="1"/>
    <xf numFmtId="0" fontId="11" fillId="31" borderId="11" xfId="0" applyFont="1" applyFill="1" applyBorder="1" applyAlignment="1">
      <alignment horizontal="justify" vertical="center" wrapText="1"/>
    </xf>
    <xf numFmtId="9" fontId="11" fillId="31" borderId="11" xfId="2" applyFont="1" applyFill="1" applyBorder="1" applyAlignment="1">
      <alignment horizontal="center" vertical="center" wrapText="1"/>
    </xf>
    <xf numFmtId="171" fontId="6" fillId="23" borderId="1" xfId="0" applyNumberFormat="1" applyFont="1" applyFill="1" applyBorder="1" applyAlignment="1">
      <alignment horizontal="center" vertical="center"/>
    </xf>
    <xf numFmtId="0" fontId="39" fillId="6" borderId="0" xfId="0" applyFont="1" applyFill="1"/>
    <xf numFmtId="0" fontId="0" fillId="6" borderId="0" xfId="0" applyFill="1"/>
    <xf numFmtId="171" fontId="11" fillId="17" borderId="1" xfId="2" applyNumberFormat="1" applyFont="1" applyFill="1" applyBorder="1" applyAlignment="1">
      <alignment horizontal="center" vertical="center" wrapText="1"/>
    </xf>
    <xf numFmtId="171" fontId="11" fillId="29" borderId="1" xfId="2" applyNumberFormat="1" applyFont="1" applyFill="1" applyBorder="1" applyAlignment="1">
      <alignment horizontal="center" vertical="center" wrapText="1"/>
    </xf>
    <xf numFmtId="3" fontId="11" fillId="29" borderId="1" xfId="2" applyNumberFormat="1" applyFont="1" applyFill="1" applyBorder="1" applyAlignment="1">
      <alignment horizontal="center" vertical="center" wrapText="1"/>
    </xf>
    <xf numFmtId="0" fontId="11" fillId="29" borderId="11" xfId="0" applyFont="1" applyFill="1" applyBorder="1" applyAlignment="1">
      <alignment horizontal="justify" vertical="center" wrapText="1"/>
    </xf>
    <xf numFmtId="9" fontId="11" fillId="29" borderId="11" xfId="2" applyFont="1" applyFill="1" applyBorder="1" applyAlignment="1">
      <alignment horizontal="center" vertical="center" wrapText="1"/>
    </xf>
    <xf numFmtId="0" fontId="14" fillId="31" borderId="64" xfId="0" applyFont="1" applyFill="1" applyBorder="1" applyAlignment="1">
      <alignment horizontal="center" vertical="center" wrapText="1"/>
    </xf>
    <xf numFmtId="0" fontId="14" fillId="31" borderId="2"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12" fillId="31" borderId="1" xfId="0" applyFont="1" applyFill="1" applyBorder="1" applyAlignment="1">
      <alignment horizontal="center" vertical="center" wrapText="1"/>
    </xf>
    <xf numFmtId="9" fontId="6" fillId="32" borderId="1" xfId="0" applyNumberFormat="1" applyFont="1" applyFill="1" applyBorder="1" applyAlignment="1">
      <alignment horizontal="center" vertical="center"/>
    </xf>
    <xf numFmtId="1" fontId="12" fillId="31" borderId="1" xfId="0" applyNumberFormat="1" applyFont="1" applyFill="1" applyBorder="1" applyAlignment="1">
      <alignment horizontal="center" vertical="center" wrapText="1"/>
    </xf>
    <xf numFmtId="10" fontId="11" fillId="31" borderId="1" xfId="2" applyNumberFormat="1" applyFont="1" applyFill="1" applyBorder="1" applyAlignment="1">
      <alignment horizontal="center" vertical="center" wrapText="1"/>
    </xf>
    <xf numFmtId="9" fontId="12" fillId="31" borderId="1" xfId="0" applyNumberFormat="1" applyFont="1" applyFill="1" applyBorder="1" applyAlignment="1">
      <alignment horizontal="center" vertical="center" wrapText="1"/>
    </xf>
    <xf numFmtId="2" fontId="11" fillId="31" borderId="1" xfId="0" applyNumberFormat="1" applyFont="1" applyFill="1" applyBorder="1" applyAlignment="1">
      <alignment horizontal="center" vertical="center" wrapText="1"/>
    </xf>
    <xf numFmtId="170" fontId="12" fillId="31" borderId="1" xfId="0" applyNumberFormat="1" applyFont="1" applyFill="1" applyBorder="1" applyAlignment="1">
      <alignment horizontal="center" vertical="center" wrapText="1"/>
    </xf>
    <xf numFmtId="9" fontId="12" fillId="31" borderId="11" xfId="0" applyNumberFormat="1" applyFont="1" applyFill="1" applyBorder="1" applyAlignment="1">
      <alignment horizontal="center" vertical="center" wrapText="1"/>
    </xf>
    <xf numFmtId="9" fontId="12" fillId="31" borderId="0" xfId="0" applyNumberFormat="1" applyFont="1" applyFill="1" applyAlignment="1">
      <alignment horizontal="center" vertical="center" wrapText="1"/>
    </xf>
    <xf numFmtId="0" fontId="11" fillId="31" borderId="3" xfId="0" applyFont="1" applyFill="1" applyBorder="1" applyAlignment="1">
      <alignment horizontal="justify" vertical="center" wrapText="1"/>
    </xf>
    <xf numFmtId="0" fontId="11" fillId="31" borderId="3" xfId="0" applyFont="1" applyFill="1" applyBorder="1" applyAlignment="1">
      <alignment horizontal="center" vertical="center" wrapText="1"/>
    </xf>
    <xf numFmtId="1" fontId="11" fillId="31" borderId="3" xfId="2" applyNumberFormat="1" applyFont="1" applyFill="1" applyBorder="1" applyAlignment="1">
      <alignment horizontal="center" vertical="center" wrapText="1"/>
    </xf>
    <xf numFmtId="9" fontId="0" fillId="0" borderId="0" xfId="0" applyNumberFormat="1"/>
    <xf numFmtId="0" fontId="9" fillId="22" borderId="1" xfId="0" applyFont="1" applyFill="1" applyBorder="1" applyAlignment="1">
      <alignment vertical="center" wrapText="1"/>
    </xf>
    <xf numFmtId="0" fontId="10" fillId="28" borderId="1" xfId="0" applyFont="1" applyFill="1" applyBorder="1"/>
    <xf numFmtId="0" fontId="0" fillId="3" borderId="1" xfId="0" applyFill="1" applyBorder="1"/>
    <xf numFmtId="3" fontId="0" fillId="3" borderId="1" xfId="0" applyNumberFormat="1" applyFill="1" applyBorder="1" applyAlignment="1">
      <alignment horizontal="center"/>
    </xf>
    <xf numFmtId="1" fontId="27" fillId="7" borderId="1" xfId="0" applyNumberFormat="1" applyFont="1" applyFill="1" applyBorder="1" applyAlignment="1">
      <alignment horizontal="center" vertical="center" wrapText="1"/>
    </xf>
    <xf numFmtId="3" fontId="3" fillId="22" borderId="1" xfId="6" applyNumberFormat="1" applyFill="1" applyBorder="1" applyAlignment="1">
      <alignment horizontal="center"/>
    </xf>
    <xf numFmtId="3" fontId="29" fillId="0" borderId="1" xfId="1" applyNumberFormat="1" applyFont="1" applyBorder="1" applyAlignment="1">
      <alignment horizontal="center" vertical="center" wrapText="1"/>
    </xf>
    <xf numFmtId="0" fontId="8" fillId="34" borderId="1" xfId="0" applyFont="1" applyFill="1" applyBorder="1" applyAlignment="1">
      <alignment horizontal="center" vertical="center" wrapText="1"/>
    </xf>
    <xf numFmtId="0" fontId="6" fillId="34" borderId="1" xfId="0" applyFont="1" applyFill="1" applyBorder="1" applyAlignment="1">
      <alignment horizontal="center" vertical="center"/>
    </xf>
    <xf numFmtId="165" fontId="6" fillId="34" borderId="1" xfId="0" applyNumberFormat="1" applyFont="1" applyFill="1" applyBorder="1" applyAlignment="1">
      <alignment horizontal="center" vertical="center" wrapText="1"/>
    </xf>
    <xf numFmtId="0" fontId="8" fillId="34" borderId="1" xfId="0" applyFont="1" applyFill="1" applyBorder="1" applyAlignment="1">
      <alignment horizontal="justify" vertical="center" wrapText="1"/>
    </xf>
    <xf numFmtId="0" fontId="8" fillId="34" borderId="2" xfId="0" applyFont="1" applyFill="1" applyBorder="1" applyAlignment="1">
      <alignment horizontal="center" vertical="center" wrapText="1"/>
    </xf>
    <xf numFmtId="9" fontId="0" fillId="3" borderId="1" xfId="0" applyNumberFormat="1" applyFill="1" applyBorder="1" applyAlignment="1">
      <alignment horizontal="center"/>
    </xf>
    <xf numFmtId="164" fontId="0" fillId="3" borderId="1" xfId="0" applyNumberFormat="1" applyFill="1" applyBorder="1" applyAlignment="1">
      <alignment horizontal="center"/>
    </xf>
    <xf numFmtId="9" fontId="0" fillId="3" borderId="1" xfId="0" applyNumberFormat="1" applyFill="1" applyBorder="1" applyAlignment="1">
      <alignment horizontal="center" vertical="center"/>
    </xf>
    <xf numFmtId="164" fontId="0" fillId="3" borderId="11" xfId="0" applyNumberFormat="1" applyFill="1" applyBorder="1" applyAlignment="1">
      <alignment horizontal="center"/>
    </xf>
    <xf numFmtId="0" fontId="0" fillId="3" borderId="49" xfId="0" applyFill="1" applyBorder="1"/>
    <xf numFmtId="0" fontId="0" fillId="3" borderId="42" xfId="0" applyFill="1" applyBorder="1"/>
    <xf numFmtId="0" fontId="0" fillId="3" borderId="15" xfId="0" applyFill="1" applyBorder="1"/>
    <xf numFmtId="164" fontId="0" fillId="3" borderId="17" xfId="0" applyNumberFormat="1" applyFill="1" applyBorder="1" applyAlignment="1">
      <alignment horizontal="center"/>
    </xf>
    <xf numFmtId="3" fontId="0" fillId="3" borderId="7" xfId="4" applyNumberFormat="1" applyFont="1" applyFill="1" applyBorder="1" applyAlignment="1">
      <alignment horizontal="center" vertical="center"/>
    </xf>
    <xf numFmtId="1" fontId="0" fillId="3" borderId="7" xfId="0" applyNumberFormat="1" applyFill="1" applyBorder="1" applyAlignment="1">
      <alignment horizontal="center"/>
    </xf>
    <xf numFmtId="1" fontId="0" fillId="3" borderId="1" xfId="0" applyNumberFormat="1" applyFill="1" applyBorder="1" applyAlignment="1">
      <alignment horizontal="center"/>
    </xf>
    <xf numFmtId="0" fontId="0" fillId="3" borderId="7" xfId="0" applyFill="1" applyBorder="1"/>
    <xf numFmtId="9" fontId="0" fillId="3" borderId="7" xfId="2" applyFont="1" applyFill="1" applyBorder="1" applyAlignment="1">
      <alignment horizontal="center"/>
    </xf>
    <xf numFmtId="3" fontId="0" fillId="3" borderId="44" xfId="0" applyNumberFormat="1" applyFill="1" applyBorder="1" applyAlignment="1">
      <alignment horizontal="center"/>
    </xf>
    <xf numFmtId="0" fontId="0" fillId="3" borderId="19" xfId="0" applyFill="1" applyBorder="1"/>
    <xf numFmtId="0" fontId="0" fillId="3" borderId="23" xfId="0" applyFill="1" applyBorder="1"/>
    <xf numFmtId="3" fontId="0" fillId="3" borderId="3" xfId="0" applyNumberFormat="1" applyFill="1" applyBorder="1" applyAlignment="1">
      <alignment horizontal="center"/>
    </xf>
    <xf numFmtId="3" fontId="0" fillId="3" borderId="0" xfId="0" applyNumberFormat="1" applyFill="1" applyAlignment="1">
      <alignment horizontal="center"/>
    </xf>
    <xf numFmtId="0" fontId="0" fillId="3" borderId="0" xfId="0" applyFill="1" applyAlignment="1">
      <alignment horizontal="center"/>
    </xf>
    <xf numFmtId="9" fontId="0" fillId="3" borderId="0" xfId="0" applyNumberFormat="1" applyFill="1" applyAlignment="1">
      <alignment horizontal="center" vertical="center"/>
    </xf>
    <xf numFmtId="0" fontId="0" fillId="3" borderId="0" xfId="0" applyFill="1"/>
    <xf numFmtId="0" fontId="27" fillId="3" borderId="35" xfId="0" applyFont="1" applyFill="1" applyBorder="1"/>
    <xf numFmtId="0" fontId="0" fillId="3" borderId="35" xfId="0" applyFill="1" applyBorder="1"/>
    <xf numFmtId="0" fontId="27" fillId="3" borderId="1" xfId="0" applyFont="1" applyFill="1" applyBorder="1" applyAlignment="1">
      <alignment horizontal="center" vertical="center" wrapText="1"/>
    </xf>
    <xf numFmtId="9" fontId="0" fillId="3" borderId="1" xfId="2" applyFont="1" applyFill="1" applyBorder="1" applyAlignment="1">
      <alignment horizontal="center" vertical="center"/>
    </xf>
    <xf numFmtId="165" fontId="6" fillId="15" borderId="0" xfId="1" applyFont="1" applyFill="1" applyBorder="1" applyAlignment="1">
      <alignment horizontal="center" vertical="center" wrapText="1"/>
    </xf>
    <xf numFmtId="0" fontId="6" fillId="3" borderId="1" xfId="5" applyNumberFormat="1" applyFont="1" applyFill="1" applyBorder="1" applyAlignment="1">
      <alignment horizontal="center" vertical="center" wrapText="1"/>
    </xf>
    <xf numFmtId="9" fontId="0" fillId="3" borderId="10" xfId="0" applyNumberFormat="1" applyFill="1" applyBorder="1" applyAlignment="1">
      <alignment horizontal="center"/>
    </xf>
    <xf numFmtId="0" fontId="0" fillId="3" borderId="66" xfId="0" applyFill="1" applyBorder="1"/>
    <xf numFmtId="9" fontId="0" fillId="3" borderId="10" xfId="2" applyFont="1" applyFill="1" applyBorder="1" applyAlignment="1">
      <alignment horizontal="center"/>
    </xf>
    <xf numFmtId="3" fontId="0" fillId="3" borderId="1" xfId="4" applyNumberFormat="1" applyFont="1" applyFill="1" applyBorder="1" applyAlignment="1">
      <alignment horizontal="center" vertical="center"/>
    </xf>
    <xf numFmtId="2" fontId="0" fillId="3" borderId="1" xfId="0" applyNumberFormat="1" applyFill="1" applyBorder="1" applyAlignment="1">
      <alignment horizontal="center"/>
    </xf>
    <xf numFmtId="0" fontId="27" fillId="3" borderId="1" xfId="0" applyFont="1" applyFill="1" applyBorder="1"/>
    <xf numFmtId="3" fontId="0" fillId="3" borderId="1" xfId="0" applyNumberFormat="1" applyFill="1" applyBorder="1" applyAlignment="1">
      <alignment horizontal="center" vertical="center"/>
    </xf>
    <xf numFmtId="0" fontId="6" fillId="3" borderId="1" xfId="1" applyNumberFormat="1" applyFont="1" applyFill="1" applyBorder="1" applyAlignment="1">
      <alignment horizontal="center" vertical="center" wrapText="1"/>
    </xf>
    <xf numFmtId="0" fontId="10" fillId="26" borderId="19" xfId="0" applyFont="1" applyFill="1" applyBorder="1"/>
    <xf numFmtId="3" fontId="0" fillId="26" borderId="7" xfId="0" applyNumberFormat="1" applyFill="1" applyBorder="1" applyAlignment="1">
      <alignment horizontal="center"/>
    </xf>
    <xf numFmtId="9" fontId="0" fillId="26" borderId="1" xfId="2" applyFont="1" applyFill="1" applyBorder="1" applyAlignment="1">
      <alignment horizontal="center"/>
    </xf>
    <xf numFmtId="164" fontId="27" fillId="26" borderId="1" xfId="2" applyNumberFormat="1" applyFont="1" applyFill="1" applyBorder="1" applyAlignment="1">
      <alignment horizontal="center"/>
    </xf>
    <xf numFmtId="9" fontId="0" fillId="26" borderId="11" xfId="0" applyNumberFormat="1" applyFill="1" applyBorder="1" applyAlignment="1">
      <alignment horizontal="center"/>
    </xf>
    <xf numFmtId="0" fontId="0" fillId="26" borderId="11" xfId="0" applyFill="1" applyBorder="1" applyAlignment="1">
      <alignment horizontal="center"/>
    </xf>
    <xf numFmtId="0" fontId="0" fillId="26" borderId="1" xfId="0" applyFill="1" applyBorder="1"/>
    <xf numFmtId="2" fontId="0" fillId="26" borderId="11" xfId="0" applyNumberFormat="1" applyFill="1" applyBorder="1" applyAlignment="1">
      <alignment horizontal="center"/>
    </xf>
    <xf numFmtId="9" fontId="0" fillId="26" borderId="10" xfId="2" applyFont="1" applyFill="1" applyBorder="1" applyAlignment="1">
      <alignment horizontal="center"/>
    </xf>
    <xf numFmtId="0" fontId="0" fillId="26" borderId="1" xfId="0" applyFill="1" applyBorder="1" applyAlignment="1">
      <alignment horizontal="center"/>
    </xf>
    <xf numFmtId="0" fontId="0" fillId="26" borderId="49" xfId="0" applyFill="1" applyBorder="1" applyAlignment="1">
      <alignment horizontal="center"/>
    </xf>
    <xf numFmtId="1" fontId="0" fillId="26" borderId="1" xfId="2" applyNumberFormat="1" applyFont="1" applyFill="1" applyBorder="1" applyAlignment="1">
      <alignment horizontal="center"/>
    </xf>
    <xf numFmtId="2" fontId="0" fillId="26" borderId="1" xfId="2" applyNumberFormat="1" applyFont="1" applyFill="1" applyBorder="1" applyAlignment="1">
      <alignment horizontal="center"/>
    </xf>
    <xf numFmtId="1" fontId="0" fillId="26" borderId="11" xfId="0" applyNumberFormat="1" applyFill="1" applyBorder="1" applyAlignment="1">
      <alignment horizontal="center"/>
    </xf>
    <xf numFmtId="3" fontId="0" fillId="26" borderId="49" xfId="0" applyNumberFormat="1" applyFill="1" applyBorder="1" applyAlignment="1">
      <alignment horizontal="center"/>
    </xf>
    <xf numFmtId="0" fontId="27" fillId="3" borderId="0" xfId="0" applyFont="1" applyFill="1"/>
    <xf numFmtId="3" fontId="27" fillId="26" borderId="11" xfId="0" applyNumberFormat="1" applyFont="1" applyFill="1" applyBorder="1" applyAlignment="1">
      <alignment horizontal="center"/>
    </xf>
    <xf numFmtId="9" fontId="27" fillId="26" borderId="11" xfId="0" applyNumberFormat="1" applyFont="1" applyFill="1" applyBorder="1" applyAlignment="1">
      <alignment horizontal="center"/>
    </xf>
    <xf numFmtId="9" fontId="27" fillId="26" borderId="11" xfId="0" applyNumberFormat="1" applyFont="1" applyFill="1" applyBorder="1" applyAlignment="1">
      <alignment horizontal="center" vertical="center"/>
    </xf>
    <xf numFmtId="0" fontId="27" fillId="26" borderId="11" xfId="0" applyFont="1" applyFill="1" applyBorder="1" applyAlignment="1">
      <alignment horizontal="center"/>
    </xf>
    <xf numFmtId="0" fontId="27" fillId="26" borderId="11" xfId="0" applyFont="1" applyFill="1" applyBorder="1"/>
    <xf numFmtId="3" fontId="27" fillId="26" borderId="11" xfId="0" applyNumberFormat="1" applyFont="1" applyFill="1" applyBorder="1" applyAlignment="1">
      <alignment horizontal="center" vertical="center"/>
    </xf>
    <xf numFmtId="9" fontId="27" fillId="3" borderId="1" xfId="0" applyNumberFormat="1" applyFont="1" applyFill="1" applyBorder="1" applyAlignment="1">
      <alignment horizontal="center"/>
    </xf>
    <xf numFmtId="9" fontId="27" fillId="3" borderId="1" xfId="0" applyNumberFormat="1" applyFont="1" applyFill="1" applyBorder="1" applyAlignment="1">
      <alignment horizontal="center" vertical="center"/>
    </xf>
    <xf numFmtId="0" fontId="27" fillId="3" borderId="1" xfId="0" applyFont="1" applyFill="1" applyBorder="1" applyAlignment="1">
      <alignment horizontal="center"/>
    </xf>
    <xf numFmtId="3" fontId="15" fillId="3" borderId="58" xfId="6" applyNumberFormat="1" applyFont="1" applyFill="1" applyBorder="1" applyAlignment="1">
      <alignment horizontal="right" vertical="center"/>
    </xf>
    <xf numFmtId="1" fontId="27" fillId="26" borderId="8" xfId="0" applyNumberFormat="1" applyFont="1" applyFill="1" applyBorder="1" applyAlignment="1">
      <alignment vertical="center" wrapText="1"/>
    </xf>
    <xf numFmtId="1" fontId="27" fillId="26" borderId="15" xfId="0" applyNumberFormat="1" applyFont="1" applyFill="1" applyBorder="1" applyAlignment="1">
      <alignment vertical="center" wrapText="1"/>
    </xf>
    <xf numFmtId="0" fontId="0" fillId="3" borderId="14" xfId="0" applyFill="1" applyBorder="1" applyAlignment="1">
      <alignment horizontal="center"/>
    </xf>
    <xf numFmtId="0" fontId="0" fillId="3" borderId="8" xfId="0" applyFill="1" applyBorder="1"/>
    <xf numFmtId="9" fontId="27" fillId="3" borderId="1" xfId="2" applyFont="1" applyFill="1" applyBorder="1" applyAlignment="1">
      <alignment horizontal="center"/>
    </xf>
    <xf numFmtId="0" fontId="27" fillId="26" borderId="19" xfId="0" applyFont="1" applyFill="1" applyBorder="1" applyAlignment="1">
      <alignment wrapText="1"/>
    </xf>
    <xf numFmtId="9" fontId="0" fillId="0" borderId="1" xfId="2" applyFont="1" applyBorder="1" applyAlignment="1">
      <alignment horizontal="center" vertical="center"/>
    </xf>
    <xf numFmtId="0" fontId="6" fillId="3"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9" borderId="8" xfId="0" applyFont="1" applyFill="1" applyBorder="1" applyAlignment="1">
      <alignment vertical="center" wrapText="1"/>
    </xf>
    <xf numFmtId="0" fontId="6" fillId="9" borderId="8" xfId="0" applyFont="1" applyFill="1" applyBorder="1" applyAlignment="1">
      <alignment vertical="center"/>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65" fontId="6" fillId="3" borderId="1" xfId="1" applyFont="1" applyFill="1" applyBorder="1" applyAlignment="1">
      <alignment horizontal="center" vertical="center" wrapText="1"/>
    </xf>
    <xf numFmtId="165" fontId="10" fillId="3" borderId="1" xfId="1" applyFont="1" applyFill="1" applyBorder="1" applyAlignment="1">
      <alignment horizontal="center" vertical="center" wrapText="1"/>
    </xf>
    <xf numFmtId="165" fontId="6" fillId="3" borderId="1" xfId="1" applyFont="1" applyFill="1" applyBorder="1" applyAlignment="1">
      <alignment vertical="center" wrapText="1"/>
    </xf>
    <xf numFmtId="165" fontId="6" fillId="3" borderId="8" xfId="1" applyFont="1" applyFill="1" applyBorder="1" applyAlignment="1">
      <alignment vertical="center" wrapText="1"/>
    </xf>
    <xf numFmtId="165" fontId="6" fillId="3" borderId="8" xfId="1" applyFont="1" applyFill="1" applyBorder="1" applyAlignment="1">
      <alignment horizontal="center" vertical="center" wrapText="1"/>
    </xf>
    <xf numFmtId="0" fontId="6" fillId="3" borderId="1" xfId="2" applyNumberFormat="1" applyFont="1" applyFill="1" applyBorder="1" applyAlignment="1">
      <alignment horizontal="center" vertical="center" wrapText="1"/>
    </xf>
    <xf numFmtId="0" fontId="6" fillId="3" borderId="1" xfId="10" applyNumberFormat="1" applyFont="1" applyFill="1" applyBorder="1" applyAlignment="1">
      <alignment horizontal="center" vertical="center" wrapText="1"/>
    </xf>
    <xf numFmtId="0" fontId="6" fillId="3" borderId="8" xfId="1" applyNumberFormat="1" applyFont="1" applyFill="1" applyBorder="1" applyAlignment="1">
      <alignment horizontal="center" vertical="center" wrapText="1"/>
    </xf>
    <xf numFmtId="0" fontId="9" fillId="3" borderId="20" xfId="1" applyNumberFormat="1" applyFont="1" applyFill="1" applyBorder="1" applyAlignment="1">
      <alignment horizontal="center" vertical="center" wrapText="1"/>
    </xf>
    <xf numFmtId="49" fontId="9" fillId="3" borderId="25" xfId="0" applyNumberFormat="1" applyFont="1" applyFill="1" applyBorder="1" applyAlignment="1">
      <alignment vertical="center"/>
    </xf>
    <xf numFmtId="49" fontId="9" fillId="3" borderId="21" xfId="0" applyNumberFormat="1" applyFont="1" applyFill="1" applyBorder="1" applyAlignment="1">
      <alignment vertical="center"/>
    </xf>
    <xf numFmtId="165" fontId="9" fillId="3" borderId="20" xfId="1" applyFont="1" applyFill="1" applyBorder="1" applyAlignment="1">
      <alignment horizontal="center" vertical="center" wrapText="1"/>
    </xf>
    <xf numFmtId="165" fontId="9" fillId="3" borderId="1" xfId="1" applyFont="1" applyFill="1" applyBorder="1" applyAlignment="1">
      <alignment horizontal="center" vertical="center" wrapText="1"/>
    </xf>
    <xf numFmtId="165" fontId="9" fillId="3" borderId="36" xfId="1" applyFont="1" applyFill="1" applyBorder="1" applyAlignment="1">
      <alignment horizontal="center" vertical="center" wrapText="1"/>
    </xf>
    <xf numFmtId="0" fontId="6" fillId="9" borderId="11" xfId="0" applyFont="1" applyFill="1" applyBorder="1" applyAlignment="1">
      <alignment horizontal="center" vertical="center"/>
    </xf>
    <xf numFmtId="49" fontId="22" fillId="3" borderId="45" xfId="0" applyNumberFormat="1" applyFont="1" applyFill="1" applyBorder="1" applyAlignment="1">
      <alignment vertical="center"/>
    </xf>
    <xf numFmtId="0" fontId="9" fillId="3" borderId="9" xfId="1" applyNumberFormat="1" applyFont="1" applyFill="1" applyBorder="1" applyAlignment="1">
      <alignment horizontal="center" vertical="center" wrapText="1"/>
    </xf>
    <xf numFmtId="0" fontId="6" fillId="13" borderId="17" xfId="0" applyFont="1" applyFill="1" applyBorder="1" applyAlignment="1">
      <alignment horizontal="center" vertical="center"/>
    </xf>
    <xf numFmtId="0" fontId="6" fillId="27" borderId="1" xfId="0" applyFont="1" applyFill="1" applyBorder="1" applyAlignment="1">
      <alignment vertical="center" wrapText="1"/>
    </xf>
    <xf numFmtId="0" fontId="6" fillId="3" borderId="3" xfId="0" applyFont="1" applyFill="1" applyBorder="1" applyAlignment="1">
      <alignment horizontal="center" vertical="center" wrapText="1"/>
    </xf>
    <xf numFmtId="0" fontId="5" fillId="0" borderId="11" xfId="0" applyFont="1" applyBorder="1" applyAlignment="1">
      <alignment horizontal="left" vertical="center" wrapText="1"/>
    </xf>
    <xf numFmtId="168" fontId="0" fillId="0" borderId="1" xfId="0" applyNumberFormat="1" applyBorder="1"/>
    <xf numFmtId="0" fontId="27" fillId="24" borderId="56" xfId="0" applyFont="1" applyFill="1" applyBorder="1" applyAlignment="1">
      <alignment horizontal="center" vertical="center"/>
    </xf>
    <xf numFmtId="0" fontId="27" fillId="24" borderId="59" xfId="0" applyFont="1" applyFill="1" applyBorder="1" applyAlignment="1">
      <alignment horizontal="center" vertical="center"/>
    </xf>
    <xf numFmtId="0" fontId="27" fillId="24" borderId="62"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38" xfId="0" applyFont="1" applyFill="1" applyBorder="1" applyAlignment="1">
      <alignment horizontal="center" vertical="center"/>
    </xf>
    <xf numFmtId="0" fontId="0" fillId="0" borderId="0" xfId="0" applyAlignment="1">
      <alignment vertical="center"/>
    </xf>
    <xf numFmtId="0" fontId="0" fillId="0" borderId="59" xfId="0" applyBorder="1"/>
    <xf numFmtId="168" fontId="0" fillId="0" borderId="46" xfId="30" applyNumberFormat="1" applyFont="1" applyFill="1" applyBorder="1" applyAlignment="1">
      <alignment vertical="center"/>
    </xf>
    <xf numFmtId="168" fontId="0" fillId="0" borderId="59" xfId="30" applyNumberFormat="1" applyFont="1" applyFill="1" applyBorder="1" applyAlignment="1">
      <alignment vertical="center"/>
    </xf>
    <xf numFmtId="168" fontId="0" fillId="0" borderId="56" xfId="30" applyNumberFormat="1" applyFont="1" applyFill="1" applyBorder="1" applyAlignment="1">
      <alignment vertical="center"/>
    </xf>
    <xf numFmtId="0" fontId="0" fillId="0" borderId="60" xfId="0" applyBorder="1"/>
    <xf numFmtId="168" fontId="0" fillId="0" borderId="0" xfId="30" applyNumberFormat="1" applyFont="1" applyFill="1" applyBorder="1" applyAlignment="1">
      <alignment vertical="center"/>
    </xf>
    <xf numFmtId="168" fontId="0" fillId="0" borderId="60" xfId="30" applyNumberFormat="1" applyFont="1" applyFill="1" applyBorder="1" applyAlignment="1">
      <alignment vertical="center"/>
    </xf>
    <xf numFmtId="168" fontId="0" fillId="0" borderId="35" xfId="30" applyNumberFormat="1" applyFont="1" applyFill="1" applyBorder="1" applyAlignment="1">
      <alignment vertical="center"/>
    </xf>
    <xf numFmtId="0" fontId="0" fillId="0" borderId="61" xfId="0" applyBorder="1"/>
    <xf numFmtId="168" fontId="0" fillId="0" borderId="45" xfId="30" applyNumberFormat="1" applyFont="1" applyFill="1" applyBorder="1" applyAlignment="1">
      <alignment vertical="center"/>
    </xf>
    <xf numFmtId="168" fontId="0" fillId="0" borderId="61" xfId="30" applyNumberFormat="1" applyFont="1" applyFill="1" applyBorder="1" applyAlignment="1">
      <alignment vertical="center"/>
    </xf>
    <xf numFmtId="168" fontId="0" fillId="0" borderId="37" xfId="30" applyNumberFormat="1" applyFont="1" applyFill="1" applyBorder="1" applyAlignment="1">
      <alignment vertical="center"/>
    </xf>
    <xf numFmtId="0" fontId="0" fillId="0" borderId="59" xfId="0" applyBorder="1" applyAlignment="1">
      <alignment wrapText="1"/>
    </xf>
    <xf numFmtId="168" fontId="0" fillId="0" borderId="1" xfId="0" applyNumberFormat="1" applyBorder="1" applyAlignment="1">
      <alignment vertical="center"/>
    </xf>
    <xf numFmtId="0" fontId="0" fillId="0" borderId="61" xfId="0" applyBorder="1" applyAlignment="1">
      <alignment wrapText="1"/>
    </xf>
    <xf numFmtId="168" fontId="0" fillId="0" borderId="0" xfId="30" applyNumberFormat="1" applyFont="1"/>
    <xf numFmtId="168" fontId="0" fillId="0" borderId="0" xfId="0" applyNumberFormat="1"/>
    <xf numFmtId="0" fontId="0" fillId="0" borderId="1" xfId="0" applyBorder="1" applyAlignment="1">
      <alignment vertical="center"/>
    </xf>
    <xf numFmtId="0" fontId="0" fillId="0" borderId="70" xfId="0" applyBorder="1" applyAlignment="1">
      <alignment vertical="center"/>
    </xf>
    <xf numFmtId="0" fontId="0" fillId="0" borderId="71" xfId="0" applyBorder="1" applyAlignment="1">
      <alignment wrapText="1"/>
    </xf>
    <xf numFmtId="168" fontId="0" fillId="0" borderId="25" xfId="30" applyNumberFormat="1" applyFont="1" applyFill="1" applyBorder="1" applyAlignment="1">
      <alignment vertical="center"/>
    </xf>
    <xf numFmtId="168" fontId="0" fillId="0" borderId="71" xfId="30" applyNumberFormat="1" applyFont="1" applyFill="1" applyBorder="1" applyAlignment="1">
      <alignment vertical="center"/>
    </xf>
    <xf numFmtId="168" fontId="0" fillId="0" borderId="0" xfId="0" applyNumberFormat="1" applyAlignment="1">
      <alignment vertical="center"/>
    </xf>
    <xf numFmtId="0" fontId="0" fillId="0" borderId="0" xfId="0" applyAlignment="1">
      <alignment horizontal="center" vertical="center"/>
    </xf>
    <xf numFmtId="0" fontId="27" fillId="0" borderId="0" xfId="0" applyFont="1" applyAlignment="1">
      <alignment horizontal="center"/>
    </xf>
    <xf numFmtId="0" fontId="27" fillId="0" borderId="0" xfId="0" applyFont="1"/>
    <xf numFmtId="168" fontId="27" fillId="24" borderId="0" xfId="0" applyNumberFormat="1" applyFont="1" applyFill="1"/>
    <xf numFmtId="168" fontId="0" fillId="24" borderId="0" xfId="0" applyNumberFormat="1" applyFill="1"/>
    <xf numFmtId="0" fontId="27" fillId="24" borderId="0" xfId="0" applyFont="1" applyFill="1"/>
    <xf numFmtId="0" fontId="5" fillId="0" borderId="8" xfId="0" applyFont="1" applyBorder="1" applyAlignment="1">
      <alignment horizontal="left" vertical="top" wrapText="1"/>
    </xf>
    <xf numFmtId="0" fontId="5" fillId="0" borderId="1" xfId="0" applyFont="1" applyBorder="1" applyAlignment="1">
      <alignment horizontal="left"/>
    </xf>
    <xf numFmtId="0" fontId="5" fillId="0" borderId="1" xfId="0" applyFont="1" applyBorder="1" applyAlignment="1">
      <alignment horizontal="left" wrapText="1"/>
    </xf>
    <xf numFmtId="0" fontId="9" fillId="0" borderId="1"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xf>
    <xf numFmtId="0" fontId="6" fillId="0" borderId="1" xfId="0" applyFont="1" applyBorder="1" applyAlignment="1">
      <alignment horizontal="left" vertical="center"/>
    </xf>
    <xf numFmtId="0" fontId="27" fillId="3" borderId="1" xfId="0" applyFont="1" applyFill="1" applyBorder="1" applyAlignment="1">
      <alignment horizontal="center" vertical="center"/>
    </xf>
    <xf numFmtId="165" fontId="11" fillId="3" borderId="8" xfId="1" applyFont="1" applyFill="1" applyBorder="1" applyAlignment="1">
      <alignment horizontal="center" vertical="center" wrapText="1"/>
    </xf>
    <xf numFmtId="49" fontId="6" fillId="3" borderId="8" xfId="1" applyNumberFormat="1" applyFont="1" applyFill="1" applyBorder="1" applyAlignment="1">
      <alignment horizontal="center" vertical="center" wrapText="1"/>
    </xf>
    <xf numFmtId="0" fontId="41" fillId="0" borderId="0" xfId="0" applyFont="1" applyAlignment="1">
      <alignment horizontal="center" vertical="center"/>
    </xf>
    <xf numFmtId="165" fontId="41" fillId="0" borderId="0" xfId="1" applyFont="1" applyAlignment="1">
      <alignment horizontal="center" vertical="center" wrapText="1"/>
    </xf>
    <xf numFmtId="0" fontId="42" fillId="0" borderId="0" xfId="0" applyFont="1"/>
    <xf numFmtId="0" fontId="43" fillId="34" borderId="1" xfId="0" applyFont="1" applyFill="1" applyBorder="1" applyAlignment="1">
      <alignment horizontal="center" vertical="center" wrapText="1"/>
    </xf>
    <xf numFmtId="0" fontId="43" fillId="34" borderId="1" xfId="0" applyFont="1" applyFill="1" applyBorder="1" applyAlignment="1">
      <alignment horizontal="justify" vertical="center" wrapText="1"/>
    </xf>
    <xf numFmtId="0" fontId="41" fillId="0" borderId="0" xfId="0" applyFont="1" applyAlignment="1">
      <alignment horizontal="center" vertical="center" wrapText="1"/>
    </xf>
    <xf numFmtId="0" fontId="41" fillId="0" borderId="1" xfId="0" applyFont="1" applyBorder="1" applyAlignment="1">
      <alignment horizontal="center" vertical="center" wrapText="1"/>
    </xf>
    <xf numFmtId="3" fontId="42" fillId="22" borderId="1" xfId="6" applyNumberFormat="1" applyFont="1" applyFill="1" applyBorder="1" applyAlignment="1">
      <alignment horizontal="center"/>
    </xf>
    <xf numFmtId="3" fontId="41" fillId="0" borderId="1" xfId="1" applyNumberFormat="1" applyFont="1" applyBorder="1" applyAlignment="1">
      <alignment horizontal="center" vertical="center" wrapText="1"/>
    </xf>
    <xf numFmtId="0" fontId="41" fillId="0" borderId="1" xfId="1" applyNumberFormat="1" applyFont="1" applyBorder="1" applyAlignment="1">
      <alignment horizontal="center" vertical="center" wrapText="1"/>
    </xf>
    <xf numFmtId="165" fontId="41" fillId="0" borderId="1" xfId="1" applyFont="1" applyBorder="1" applyAlignment="1">
      <alignment horizontal="center" vertical="center" wrapText="1"/>
    </xf>
    <xf numFmtId="0" fontId="41" fillId="0" borderId="0" xfId="0" applyFont="1"/>
    <xf numFmtId="0" fontId="10" fillId="26" borderId="1" xfId="0" applyFont="1" applyFill="1" applyBorder="1"/>
    <xf numFmtId="3" fontId="0" fillId="26" borderId="1" xfId="0" applyNumberFormat="1" applyFill="1" applyBorder="1" applyAlignment="1">
      <alignment horizontal="center"/>
    </xf>
    <xf numFmtId="9" fontId="0" fillId="26" borderId="1" xfId="0" applyNumberFormat="1" applyFill="1" applyBorder="1" applyAlignment="1">
      <alignment horizontal="center"/>
    </xf>
    <xf numFmtId="1" fontId="0" fillId="26" borderId="1" xfId="0" applyNumberFormat="1" applyFill="1" applyBorder="1" applyAlignment="1">
      <alignment horizontal="center"/>
    </xf>
    <xf numFmtId="1" fontId="0" fillId="26" borderId="44" xfId="0" applyNumberFormat="1" applyFill="1" applyBorder="1" applyAlignment="1">
      <alignment horizontal="center"/>
    </xf>
    <xf numFmtId="3" fontId="0" fillId="5" borderId="1" xfId="0" applyNumberFormat="1" applyFill="1" applyBorder="1" applyAlignment="1">
      <alignment horizontal="center"/>
    </xf>
    <xf numFmtId="1" fontId="0" fillId="0" borderId="1" xfId="0" applyNumberFormat="1" applyBorder="1"/>
    <xf numFmtId="0" fontId="0" fillId="0" borderId="7" xfId="0" applyBorder="1"/>
    <xf numFmtId="3" fontId="0" fillId="6" borderId="1" xfId="4" applyNumberFormat="1" applyFont="1" applyFill="1" applyBorder="1" applyAlignment="1">
      <alignment horizontal="center" vertical="center"/>
    </xf>
    <xf numFmtId="0" fontId="6" fillId="5" borderId="1" xfId="1" applyNumberFormat="1" applyFont="1" applyFill="1" applyBorder="1" applyAlignment="1">
      <alignment horizontal="center" vertical="center" wrapText="1"/>
    </xf>
    <xf numFmtId="0" fontId="0" fillId="5" borderId="1" xfId="0" applyFill="1" applyBorder="1" applyAlignment="1">
      <alignment horizontal="center"/>
    </xf>
    <xf numFmtId="1" fontId="0" fillId="0" borderId="7" xfId="0" applyNumberFormat="1" applyBorder="1" applyAlignment="1">
      <alignment horizontal="center"/>
    </xf>
    <xf numFmtId="1" fontId="0" fillId="0" borderId="7" xfId="0" applyNumberFormat="1" applyBorder="1" applyAlignment="1">
      <alignment horizontal="left" indent="1"/>
    </xf>
    <xf numFmtId="170" fontId="0" fillId="0" borderId="7" xfId="0" applyNumberFormat="1" applyBorder="1" applyAlignment="1">
      <alignment horizontal="center"/>
    </xf>
    <xf numFmtId="164" fontId="0" fillId="3" borderId="1" xfId="0" applyNumberFormat="1" applyFill="1" applyBorder="1"/>
    <xf numFmtId="9" fontId="0" fillId="3" borderId="1" xfId="2" applyFont="1" applyFill="1" applyBorder="1" applyAlignment="1">
      <alignment vertical="center"/>
    </xf>
    <xf numFmtId="1" fontId="0" fillId="5" borderId="1" xfId="2" applyNumberFormat="1" applyFont="1" applyFill="1" applyBorder="1" applyAlignment="1">
      <alignment horizontal="center"/>
    </xf>
    <xf numFmtId="1" fontId="0" fillId="25" borderId="1" xfId="0" applyNumberFormat="1" applyFill="1" applyBorder="1"/>
    <xf numFmtId="0" fontId="27" fillId="26" borderId="1" xfId="0" applyFont="1" applyFill="1" applyBorder="1" applyAlignment="1">
      <alignment wrapText="1"/>
    </xf>
    <xf numFmtId="3" fontId="27" fillId="26" borderId="1" xfId="0" applyNumberFormat="1" applyFont="1" applyFill="1" applyBorder="1" applyAlignment="1">
      <alignment horizontal="center"/>
    </xf>
    <xf numFmtId="9" fontId="27" fillId="26" borderId="1" xfId="0" applyNumberFormat="1" applyFont="1" applyFill="1" applyBorder="1" applyAlignment="1">
      <alignment horizontal="center"/>
    </xf>
    <xf numFmtId="171" fontId="27" fillId="26" borderId="1" xfId="0" applyNumberFormat="1" applyFont="1" applyFill="1" applyBorder="1" applyAlignment="1">
      <alignment horizontal="center" vertical="center"/>
    </xf>
    <xf numFmtId="9" fontId="27" fillId="26" borderId="1" xfId="0" applyNumberFormat="1" applyFont="1" applyFill="1" applyBorder="1" applyAlignment="1">
      <alignment horizontal="center" vertical="center"/>
    </xf>
    <xf numFmtId="0" fontId="27" fillId="26" borderId="1" xfId="0" applyFont="1" applyFill="1" applyBorder="1" applyAlignment="1">
      <alignment horizontal="center"/>
    </xf>
    <xf numFmtId="0" fontId="27" fillId="26" borderId="1" xfId="0" applyFont="1" applyFill="1" applyBorder="1"/>
    <xf numFmtId="3" fontId="27" fillId="26" borderId="1" xfId="0" applyNumberFormat="1" applyFont="1" applyFill="1" applyBorder="1" applyAlignment="1">
      <alignment horizontal="center" vertical="center"/>
    </xf>
    <xf numFmtId="0" fontId="43" fillId="34" borderId="8" xfId="0" applyFont="1" applyFill="1" applyBorder="1" applyAlignment="1">
      <alignment horizontal="center" vertical="center" wrapText="1"/>
    </xf>
    <xf numFmtId="2" fontId="41" fillId="36" borderId="0" xfId="1" applyNumberFormat="1" applyFont="1" applyFill="1" applyAlignment="1">
      <alignment horizontal="center" vertical="center" wrapText="1"/>
    </xf>
    <xf numFmtId="3" fontId="42" fillId="36" borderId="1" xfId="6" applyNumberFormat="1" applyFont="1" applyFill="1" applyBorder="1" applyAlignment="1">
      <alignment horizontal="center"/>
    </xf>
    <xf numFmtId="0" fontId="41" fillId="36" borderId="0" xfId="0" applyFont="1" applyFill="1"/>
    <xf numFmtId="170" fontId="43" fillId="34" borderId="8" xfId="0" applyNumberFormat="1" applyFont="1" applyFill="1" applyBorder="1" applyAlignment="1">
      <alignment horizontal="center" vertical="center" wrapText="1"/>
    </xf>
    <xf numFmtId="0" fontId="43" fillId="36" borderId="10" xfId="0" applyFont="1" applyFill="1" applyBorder="1" applyAlignment="1">
      <alignment vertical="center" wrapText="1"/>
    </xf>
    <xf numFmtId="0" fontId="43" fillId="36" borderId="29" xfId="0" applyFont="1" applyFill="1" applyBorder="1" applyAlignment="1">
      <alignment vertical="center" wrapText="1"/>
    </xf>
    <xf numFmtId="3" fontId="43" fillId="36" borderId="29" xfId="0" applyNumberFormat="1" applyFont="1" applyFill="1" applyBorder="1" applyAlignment="1">
      <alignment horizontal="center" vertical="center" wrapText="1"/>
    </xf>
    <xf numFmtId="0" fontId="42" fillId="0" borderId="1" xfId="0" applyFont="1" applyBorder="1"/>
    <xf numFmtId="0" fontId="27" fillId="0" borderId="1" xfId="0" applyFont="1" applyBorder="1" applyAlignment="1">
      <alignment horizontal="center"/>
    </xf>
    <xf numFmtId="0" fontId="6" fillId="3" borderId="1" xfId="67" applyNumberFormat="1" applyFont="1" applyFill="1" applyBorder="1" applyAlignment="1">
      <alignment horizontal="center" vertical="center" wrapText="1"/>
    </xf>
    <xf numFmtId="3" fontId="43" fillId="36" borderId="7" xfId="0" applyNumberFormat="1" applyFont="1" applyFill="1" applyBorder="1" applyAlignment="1">
      <alignment horizontal="center" vertical="center" wrapText="1"/>
    </xf>
    <xf numFmtId="0" fontId="6" fillId="3" borderId="11" xfId="1" applyNumberFormat="1" applyFont="1" applyFill="1" applyBorder="1" applyAlignment="1">
      <alignment horizontal="center" vertical="center" wrapText="1"/>
    </xf>
    <xf numFmtId="170" fontId="42" fillId="0" borderId="1" xfId="0" applyNumberFormat="1" applyFont="1" applyBorder="1"/>
    <xf numFmtId="1" fontId="42" fillId="0" borderId="1" xfId="0" applyNumberFormat="1" applyFont="1" applyBorder="1"/>
    <xf numFmtId="1" fontId="44" fillId="0" borderId="1" xfId="0" applyNumberFormat="1" applyFont="1" applyBorder="1" applyAlignment="1">
      <alignment horizontal="center"/>
    </xf>
    <xf numFmtId="3" fontId="44" fillId="0" borderId="1" xfId="0" applyNumberFormat="1" applyFont="1" applyBorder="1" applyAlignment="1">
      <alignment horizontal="center"/>
    </xf>
    <xf numFmtId="170" fontId="42" fillId="0" borderId="0" xfId="0" applyNumberFormat="1" applyFont="1"/>
    <xf numFmtId="170" fontId="27" fillId="0" borderId="1" xfId="0" applyNumberFormat="1" applyFont="1" applyBorder="1" applyAlignment="1">
      <alignment horizontal="center"/>
    </xf>
    <xf numFmtId="1" fontId="6" fillId="3" borderId="1" xfId="1" applyNumberFormat="1" applyFont="1" applyFill="1" applyBorder="1" applyAlignment="1">
      <alignment horizontal="center" vertical="center" wrapText="1"/>
    </xf>
    <xf numFmtId="165" fontId="6" fillId="3" borderId="8" xfId="1" applyFont="1" applyFill="1" applyBorder="1" applyAlignment="1">
      <alignment horizontal="center" vertical="center"/>
    </xf>
    <xf numFmtId="49" fontId="6" fillId="3" borderId="1" xfId="1" applyNumberFormat="1" applyFont="1" applyFill="1" applyBorder="1" applyAlignment="1">
      <alignment horizontal="center" vertical="center" wrapText="1"/>
    </xf>
    <xf numFmtId="165" fontId="41" fillId="3" borderId="1" xfId="1" applyFont="1" applyFill="1" applyBorder="1" applyAlignment="1">
      <alignment horizontal="center" vertical="center" wrapText="1"/>
    </xf>
    <xf numFmtId="0" fontId="43" fillId="5" borderId="1" xfId="0" applyFont="1" applyFill="1" applyBorder="1" applyAlignment="1">
      <alignment horizontal="justify" vertical="center" wrapText="1"/>
    </xf>
    <xf numFmtId="0" fontId="43" fillId="5" borderId="1" xfId="0" applyFont="1" applyFill="1" applyBorder="1" applyAlignment="1">
      <alignment horizontal="center" vertical="center" wrapText="1"/>
    </xf>
    <xf numFmtId="3" fontId="43" fillId="34" borderId="8" xfId="0" applyNumberFormat="1" applyFont="1" applyFill="1" applyBorder="1" applyAlignment="1">
      <alignment horizontal="center" vertical="center" wrapText="1"/>
    </xf>
    <xf numFmtId="0" fontId="6" fillId="15" borderId="12" xfId="0" applyFont="1" applyFill="1" applyBorder="1" applyAlignment="1">
      <alignment horizontal="center" vertical="center"/>
    </xf>
    <xf numFmtId="0" fontId="11" fillId="35"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6" fillId="3" borderId="1" xfId="6" applyFont="1" applyFill="1" applyBorder="1" applyAlignment="1">
      <alignment horizontal="center" vertical="center" wrapText="1"/>
    </xf>
    <xf numFmtId="0" fontId="10" fillId="27" borderId="1" xfId="0" applyFont="1" applyFill="1" applyBorder="1" applyAlignment="1">
      <alignment horizontal="left" vertical="center"/>
    </xf>
    <xf numFmtId="0" fontId="6" fillId="35" borderId="1" xfId="0" applyFont="1" applyFill="1" applyBorder="1" applyAlignment="1">
      <alignment horizontal="justify" vertical="center" wrapText="1"/>
    </xf>
    <xf numFmtId="0" fontId="11" fillId="3" borderId="1" xfId="0" applyFont="1" applyFill="1" applyBorder="1" applyAlignment="1">
      <alignment horizontal="center" vertical="center" wrapText="1"/>
    </xf>
    <xf numFmtId="3" fontId="10" fillId="27" borderId="1" xfId="0" applyNumberFormat="1" applyFont="1" applyFill="1" applyBorder="1" applyAlignment="1">
      <alignment horizontal="center" vertical="center"/>
    </xf>
    <xf numFmtId="0" fontId="6" fillId="27" borderId="1" xfId="0" applyFont="1" applyFill="1" applyBorder="1" applyAlignment="1">
      <alignment horizontal="left" vertical="center"/>
    </xf>
    <xf numFmtId="0" fontId="5" fillId="3" borderId="1" xfId="0" applyFont="1" applyFill="1" applyBorder="1" applyAlignment="1">
      <alignment horizontal="left" vertical="center" wrapText="1"/>
    </xf>
    <xf numFmtId="0" fontId="6" fillId="3" borderId="29"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0" fontId="16" fillId="8" borderId="76" xfId="0" applyFont="1" applyFill="1" applyBorder="1" applyAlignment="1">
      <alignment vertical="center" wrapText="1"/>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6" fillId="0" borderId="11" xfId="0" applyFont="1" applyBorder="1" applyAlignment="1">
      <alignment horizontal="center" vertical="center" wrapText="1"/>
    </xf>
    <xf numFmtId="1" fontId="6" fillId="3" borderId="1" xfId="67" applyNumberFormat="1" applyFont="1" applyFill="1" applyBorder="1" applyAlignment="1">
      <alignment horizontal="center" vertical="center" wrapText="1"/>
    </xf>
    <xf numFmtId="0" fontId="9" fillId="5" borderId="20" xfId="1" applyNumberFormat="1" applyFont="1" applyFill="1" applyBorder="1" applyAlignment="1">
      <alignment horizontal="center" vertical="center" wrapText="1"/>
    </xf>
    <xf numFmtId="0" fontId="6" fillId="37" borderId="1" xfId="0" applyFont="1" applyFill="1" applyBorder="1" applyAlignment="1">
      <alignment horizontal="center" vertical="center" wrapText="1"/>
    </xf>
    <xf numFmtId="0" fontId="11" fillId="37"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3" borderId="1" xfId="5" applyNumberFormat="1" applyFont="1" applyFill="1" applyBorder="1" applyAlignment="1">
      <alignment horizontal="center" vertical="center" wrapText="1"/>
    </xf>
    <xf numFmtId="9" fontId="11" fillId="15" borderId="17" xfId="0" applyNumberFormat="1" applyFont="1" applyFill="1" applyBorder="1" applyAlignment="1">
      <alignment horizontal="center" vertical="center"/>
    </xf>
    <xf numFmtId="0" fontId="6" fillId="13" borderId="11" xfId="0" applyFont="1" applyFill="1" applyBorder="1" applyAlignment="1">
      <alignment horizontal="center" vertical="center"/>
    </xf>
    <xf numFmtId="0" fontId="6" fillId="13" borderId="8"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7"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11"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7" xfId="0" applyFont="1" applyFill="1" applyBorder="1" applyAlignment="1">
      <alignment horizontal="center" vertical="center"/>
    </xf>
    <xf numFmtId="0" fontId="6" fillId="15" borderId="8" xfId="0" applyFont="1" applyFill="1" applyBorder="1" applyAlignment="1">
      <alignment horizontal="center" vertical="center"/>
    </xf>
    <xf numFmtId="0" fontId="6" fillId="15" borderId="17"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1" borderId="11" xfId="0" applyFont="1" applyFill="1" applyBorder="1" applyAlignment="1">
      <alignment horizontal="center" vertical="center"/>
    </xf>
    <xf numFmtId="0" fontId="6" fillId="11" borderId="9" xfId="0" applyFont="1" applyFill="1" applyBorder="1" applyAlignment="1">
      <alignment horizontal="center" vertical="center"/>
    </xf>
    <xf numFmtId="0" fontId="6" fillId="13" borderId="12"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17"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36"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6" fillId="11" borderId="12" xfId="0" applyFont="1" applyFill="1" applyBorder="1" applyAlignment="1">
      <alignment horizontal="center" vertical="center"/>
    </xf>
    <xf numFmtId="0" fontId="6" fillId="11" borderId="17" xfId="0" applyFont="1" applyFill="1" applyBorder="1" applyAlignment="1">
      <alignment horizontal="center" vertical="center"/>
    </xf>
    <xf numFmtId="0" fontId="0" fillId="3" borderId="9" xfId="0" applyFill="1" applyBorder="1" applyAlignment="1">
      <alignment horizontal="center" vertical="center" wrapText="1"/>
    </xf>
    <xf numFmtId="0" fontId="6" fillId="13" borderId="12" xfId="0" applyFont="1" applyFill="1" applyBorder="1" applyAlignment="1">
      <alignment horizontal="center" vertical="center"/>
    </xf>
    <xf numFmtId="165" fontId="6" fillId="3" borderId="11" xfId="1" applyFont="1" applyFill="1" applyBorder="1" applyAlignment="1">
      <alignment horizontal="center" vertical="center" wrapText="1"/>
    </xf>
    <xf numFmtId="165" fontId="6" fillId="3" borderId="17" xfId="1" applyFont="1" applyFill="1" applyBorder="1" applyAlignment="1">
      <alignment horizontal="center" vertical="center" wrapText="1"/>
    </xf>
    <xf numFmtId="165" fontId="6" fillId="3" borderId="8" xfId="1" applyFont="1" applyFill="1" applyBorder="1" applyAlignment="1">
      <alignment horizontal="center" vertical="center" wrapText="1"/>
    </xf>
    <xf numFmtId="165" fontId="6" fillId="3" borderId="9" xfId="1"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42" xfId="0" applyFont="1" applyFill="1" applyBorder="1" applyAlignment="1">
      <alignment horizontal="center" vertical="center" wrapText="1"/>
    </xf>
    <xf numFmtId="9" fontId="11" fillId="15" borderId="17" xfId="0" applyNumberFormat="1" applyFont="1" applyFill="1" applyBorder="1" applyAlignment="1">
      <alignment horizontal="center" vertical="center"/>
    </xf>
    <xf numFmtId="0" fontId="6" fillId="18" borderId="11" xfId="0" applyFont="1" applyFill="1" applyBorder="1" applyAlignment="1">
      <alignment horizontal="center" vertical="center" wrapText="1"/>
    </xf>
    <xf numFmtId="0" fontId="6" fillId="18" borderId="9" xfId="0" applyFont="1" applyFill="1" applyBorder="1" applyAlignment="1">
      <alignment horizontal="center" vertical="center" wrapText="1"/>
    </xf>
    <xf numFmtId="0" fontId="6" fillId="18" borderId="12" xfId="0" applyFont="1" applyFill="1" applyBorder="1" applyAlignment="1">
      <alignment horizontal="center" vertical="center" wrapText="1"/>
    </xf>
    <xf numFmtId="0" fontId="6" fillId="18" borderId="17"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8" xfId="0" applyFont="1" applyFill="1" applyBorder="1" applyAlignment="1">
      <alignment horizontal="center" vertical="center" wrapText="1"/>
    </xf>
    <xf numFmtId="165" fontId="6" fillId="3" borderId="12" xfId="1" applyFont="1" applyFill="1" applyBorder="1" applyAlignment="1">
      <alignment horizontal="center" vertical="center" wrapText="1"/>
    </xf>
    <xf numFmtId="0" fontId="6" fillId="3" borderId="23"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8" xfId="0" applyFont="1" applyFill="1" applyBorder="1" applyAlignment="1">
      <alignment horizontal="center" vertical="center"/>
    </xf>
    <xf numFmtId="0" fontId="6" fillId="15" borderId="1"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9"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9"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10" borderId="1" xfId="0" applyFont="1" applyFill="1" applyBorder="1" applyAlignment="1">
      <alignment horizontal="justify" vertical="center" wrapText="1"/>
    </xf>
    <xf numFmtId="0" fontId="8"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6" fillId="19" borderId="11" xfId="0" applyFont="1" applyFill="1" applyBorder="1" applyAlignment="1">
      <alignment horizontal="center" vertical="center"/>
    </xf>
    <xf numFmtId="0" fontId="6" fillId="19" borderId="17" xfId="0" applyFont="1" applyFill="1" applyBorder="1" applyAlignment="1">
      <alignment horizontal="center" vertical="center"/>
    </xf>
    <xf numFmtId="0" fontId="6" fillId="19"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1" borderId="8"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9" xfId="0" applyFont="1" applyFill="1" applyBorder="1" applyAlignment="1">
      <alignment horizontal="center" vertical="center"/>
    </xf>
    <xf numFmtId="0" fontId="6" fillId="11"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11" borderId="35"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6" fillId="11" borderId="22"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17" xfId="0" applyFont="1" applyFill="1" applyBorder="1" applyAlignment="1">
      <alignment horizontal="center" vertical="center" wrapText="1"/>
    </xf>
    <xf numFmtId="0" fontId="9" fillId="13" borderId="9" xfId="0" applyFont="1" applyFill="1" applyBorder="1" applyAlignment="1">
      <alignment horizontal="center" vertical="center" wrapText="1"/>
    </xf>
    <xf numFmtId="0" fontId="6" fillId="13" borderId="22" xfId="0" applyFont="1" applyFill="1" applyBorder="1" applyAlignment="1">
      <alignment horizontal="center" vertical="center" wrapText="1"/>
    </xf>
    <xf numFmtId="0" fontId="6" fillId="13" borderId="23"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6" fillId="13" borderId="40"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11" fillId="13" borderId="17"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4" xfId="0" applyFont="1" applyBorder="1" applyAlignment="1">
      <alignment horizontal="center" vertical="center" wrapText="1"/>
    </xf>
    <xf numFmtId="0" fontId="9" fillId="4" borderId="4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7" xfId="0" applyFont="1" applyFill="1" applyBorder="1" applyAlignment="1">
      <alignment horizontal="center" vertical="center"/>
    </xf>
    <xf numFmtId="0" fontId="9" fillId="4" borderId="2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6" fillId="11" borderId="12" xfId="0" applyFont="1" applyFill="1" applyBorder="1" applyAlignment="1">
      <alignment horizontal="left" vertical="center" wrapText="1"/>
    </xf>
    <xf numFmtId="0" fontId="6" fillId="11" borderId="17" xfId="0" applyFont="1" applyFill="1" applyBorder="1" applyAlignment="1">
      <alignment horizontal="left" vertical="center" wrapText="1"/>
    </xf>
    <xf numFmtId="0" fontId="6" fillId="11" borderId="9" xfId="0" applyFont="1" applyFill="1" applyBorder="1" applyAlignment="1">
      <alignment horizontal="left" vertical="center" wrapText="1"/>
    </xf>
    <xf numFmtId="0" fontId="6" fillId="11" borderId="2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3" borderId="1" xfId="0" applyFont="1" applyFill="1" applyBorder="1" applyAlignment="1">
      <alignment horizontal="left" wrapText="1"/>
    </xf>
    <xf numFmtId="0" fontId="6" fillId="11" borderId="38"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16" xfId="0" applyFont="1" applyFill="1" applyBorder="1" applyAlignment="1">
      <alignment horizontal="center" vertical="center" wrapText="1"/>
    </xf>
    <xf numFmtId="165" fontId="6" fillId="3" borderId="12" xfId="0" applyNumberFormat="1" applyFont="1" applyFill="1" applyBorder="1" applyAlignment="1">
      <alignment horizontal="center" vertical="center" wrapText="1"/>
    </xf>
    <xf numFmtId="165" fontId="6" fillId="3" borderId="17" xfId="0" applyNumberFormat="1" applyFont="1" applyFill="1" applyBorder="1" applyAlignment="1">
      <alignment horizontal="center" vertical="center" wrapText="1"/>
    </xf>
    <xf numFmtId="165" fontId="6" fillId="3" borderId="8" xfId="0" applyNumberFormat="1" applyFont="1" applyFill="1" applyBorder="1" applyAlignment="1">
      <alignment horizontal="center" vertical="center" wrapText="1"/>
    </xf>
    <xf numFmtId="0" fontId="6" fillId="7" borderId="11" xfId="0" applyFont="1" applyFill="1" applyBorder="1" applyAlignment="1">
      <alignment horizontal="left" vertical="center" wrapText="1"/>
    </xf>
    <xf numFmtId="0" fontId="6" fillId="7" borderId="17"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13" borderId="62" xfId="0" applyFont="1" applyFill="1" applyBorder="1" applyAlignment="1">
      <alignment horizontal="center" vertical="center" wrapText="1"/>
    </xf>
    <xf numFmtId="0" fontId="6" fillId="13" borderId="43" xfId="0" applyFont="1" applyFill="1" applyBorder="1" applyAlignment="1">
      <alignment horizontal="center" vertical="center" wrapText="1"/>
    </xf>
    <xf numFmtId="0" fontId="6" fillId="13" borderId="63" xfId="0" applyFont="1" applyFill="1" applyBorder="1" applyAlignment="1">
      <alignment horizontal="center" vertical="center" wrapText="1"/>
    </xf>
    <xf numFmtId="0" fontId="6" fillId="13" borderId="9" xfId="0" applyFont="1" applyFill="1" applyBorder="1" applyAlignment="1">
      <alignment horizontal="center" vertical="center"/>
    </xf>
    <xf numFmtId="0" fontId="9" fillId="9" borderId="12"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5" borderId="9"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9" fillId="18" borderId="12"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6" fillId="19" borderId="17" xfId="0" applyFont="1" applyFill="1" applyBorder="1" applyAlignment="1">
      <alignment horizontal="center" vertical="center" wrapText="1"/>
    </xf>
    <xf numFmtId="0" fontId="9" fillId="19" borderId="12" xfId="0" applyFont="1" applyFill="1" applyBorder="1" applyAlignment="1">
      <alignment horizontal="center" vertical="center" wrapText="1"/>
    </xf>
    <xf numFmtId="0" fontId="9" fillId="19" borderId="17" xfId="0" applyFont="1" applyFill="1" applyBorder="1" applyAlignment="1">
      <alignment horizontal="center" vertical="center" wrapText="1"/>
    </xf>
    <xf numFmtId="0" fontId="9" fillId="19" borderId="9" xfId="0" applyFont="1" applyFill="1" applyBorder="1" applyAlignment="1">
      <alignment horizontal="center" vertical="center" wrapText="1"/>
    </xf>
    <xf numFmtId="0" fontId="6" fillId="19" borderId="12"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9" fillId="19" borderId="11" xfId="0" applyFont="1" applyFill="1" applyBorder="1" applyAlignment="1">
      <alignment horizontal="center" vertical="center" wrapText="1"/>
    </xf>
    <xf numFmtId="165" fontId="6" fillId="15" borderId="11" xfId="1" applyFont="1" applyFill="1" applyBorder="1" applyAlignment="1">
      <alignment horizontal="center" vertical="center" wrapText="1"/>
    </xf>
    <xf numFmtId="165" fontId="6" fillId="15" borderId="17" xfId="1" applyFont="1" applyFill="1" applyBorder="1" applyAlignment="1">
      <alignment horizontal="center" vertical="center" wrapText="1"/>
    </xf>
    <xf numFmtId="165" fontId="6" fillId="15" borderId="8" xfId="1" applyFont="1" applyFill="1" applyBorder="1" applyAlignment="1">
      <alignment horizontal="center" vertical="center" wrapText="1"/>
    </xf>
    <xf numFmtId="0" fontId="6" fillId="9" borderId="17" xfId="0" applyFont="1" applyFill="1" applyBorder="1" applyAlignment="1">
      <alignment horizontal="center" vertical="center"/>
    </xf>
    <xf numFmtId="0" fontId="6" fillId="9" borderId="1" xfId="0" applyFont="1" applyFill="1" applyBorder="1" applyAlignment="1">
      <alignment horizontal="center" vertical="center"/>
    </xf>
    <xf numFmtId="9" fontId="11" fillId="15" borderId="11" xfId="0" applyNumberFormat="1" applyFont="1" applyFill="1" applyBorder="1" applyAlignment="1">
      <alignment horizontal="center" vertical="center"/>
    </xf>
    <xf numFmtId="9" fontId="11" fillId="15" borderId="8" xfId="0" applyNumberFormat="1" applyFont="1" applyFill="1" applyBorder="1" applyAlignment="1">
      <alignment horizontal="center" vertical="center"/>
    </xf>
    <xf numFmtId="165" fontId="6" fillId="0" borderId="1" xfId="1" applyFont="1" applyBorder="1" applyAlignment="1">
      <alignment horizontal="center" vertical="center" wrapText="1"/>
    </xf>
    <xf numFmtId="0" fontId="6" fillId="18" borderId="12" xfId="0" applyFont="1" applyFill="1" applyBorder="1" applyAlignment="1">
      <alignment horizontal="center" vertical="center"/>
    </xf>
    <xf numFmtId="0" fontId="6" fillId="18" borderId="17" xfId="0" applyFont="1" applyFill="1" applyBorder="1" applyAlignment="1">
      <alignment horizontal="center" vertical="center"/>
    </xf>
    <xf numFmtId="0" fontId="6" fillId="18" borderId="8" xfId="0" applyFont="1" applyFill="1" applyBorder="1" applyAlignment="1">
      <alignment horizontal="center" vertical="center"/>
    </xf>
    <xf numFmtId="165" fontId="6" fillId="3" borderId="1" xfId="1" applyFont="1" applyFill="1" applyBorder="1" applyAlignment="1">
      <alignment horizontal="center" vertical="center" wrapText="1"/>
    </xf>
    <xf numFmtId="0" fontId="43" fillId="36" borderId="10" xfId="0" applyFont="1" applyFill="1" applyBorder="1" applyAlignment="1">
      <alignment horizontal="left" vertical="center" wrapText="1"/>
    </xf>
    <xf numFmtId="0" fontId="43" fillId="36" borderId="29" xfId="0" applyFont="1" applyFill="1" applyBorder="1" applyAlignment="1">
      <alignment horizontal="left" vertical="center" wrapText="1"/>
    </xf>
    <xf numFmtId="0" fontId="43" fillId="36" borderId="7" xfId="0" applyFont="1" applyFill="1" applyBorder="1" applyAlignment="1">
      <alignment horizontal="left" vertical="center" wrapText="1"/>
    </xf>
    <xf numFmtId="0" fontId="43" fillId="36" borderId="10" xfId="0" applyFont="1" applyFill="1" applyBorder="1" applyAlignment="1">
      <alignment horizontal="center" vertical="center" wrapText="1"/>
    </xf>
    <xf numFmtId="0" fontId="43" fillId="36" borderId="29" xfId="0" applyFont="1" applyFill="1" applyBorder="1" applyAlignment="1">
      <alignment horizontal="center" vertical="center" wrapText="1"/>
    </xf>
    <xf numFmtId="0" fontId="43" fillId="36" borderId="7" xfId="0" applyFont="1" applyFill="1" applyBorder="1" applyAlignment="1">
      <alignment horizontal="center" vertical="center" wrapText="1"/>
    </xf>
    <xf numFmtId="0" fontId="10" fillId="25" borderId="44" xfId="0" applyFont="1" applyFill="1" applyBorder="1" applyAlignment="1">
      <alignment horizontal="center" vertical="center" wrapText="1"/>
    </xf>
    <xf numFmtId="0" fontId="10" fillId="25" borderId="43" xfId="0" applyFont="1" applyFill="1" applyBorder="1" applyAlignment="1">
      <alignment horizontal="center" vertical="center" wrapText="1"/>
    </xf>
    <xf numFmtId="0" fontId="10" fillId="25" borderId="15" xfId="0" applyFont="1" applyFill="1" applyBorder="1" applyAlignment="1">
      <alignment horizontal="center" vertical="center" wrapText="1"/>
    </xf>
    <xf numFmtId="0" fontId="9" fillId="25" borderId="1" xfId="0" applyFont="1" applyFill="1" applyBorder="1" applyAlignment="1">
      <alignment horizontal="center" vertical="center" wrapText="1"/>
    </xf>
    <xf numFmtId="0" fontId="10" fillId="22" borderId="1" xfId="0" applyFont="1" applyFill="1" applyBorder="1" applyAlignment="1">
      <alignment horizontal="center"/>
    </xf>
    <xf numFmtId="0" fontId="10" fillId="23" borderId="1" xfId="0" applyFont="1" applyFill="1" applyBorder="1" applyAlignment="1">
      <alignment horizontal="center"/>
    </xf>
    <xf numFmtId="0" fontId="6" fillId="9" borderId="1" xfId="0" applyFont="1" applyFill="1" applyBorder="1" applyAlignment="1">
      <alignment horizontal="center" wrapText="1"/>
    </xf>
    <xf numFmtId="0" fontId="10" fillId="7" borderId="1" xfId="0" applyFont="1" applyFill="1" applyBorder="1" applyAlignment="1">
      <alignment horizontal="center"/>
    </xf>
    <xf numFmtId="0" fontId="10" fillId="28" borderId="1" xfId="0" applyFont="1" applyFill="1" applyBorder="1" applyAlignment="1">
      <alignment horizontal="center"/>
    </xf>
    <xf numFmtId="0" fontId="10" fillId="28" borderId="1" xfId="0" applyFont="1" applyFill="1" applyBorder="1" applyAlignment="1">
      <alignment horizontal="center" vertical="center" wrapText="1"/>
    </xf>
    <xf numFmtId="0" fontId="10" fillId="25" borderId="1" xfId="0" applyFont="1" applyFill="1" applyBorder="1" applyAlignment="1">
      <alignment horizontal="center" vertical="center" wrapText="1"/>
    </xf>
    <xf numFmtId="0" fontId="10" fillId="23" borderId="1" xfId="0" applyFont="1" applyFill="1" applyBorder="1" applyAlignment="1">
      <alignment horizontal="center" vertical="center" wrapText="1"/>
    </xf>
    <xf numFmtId="0" fontId="10" fillId="22" borderId="1" xfId="0" applyFont="1" applyFill="1" applyBorder="1" applyAlignment="1">
      <alignment horizontal="center" vertical="center"/>
    </xf>
    <xf numFmtId="0" fontId="10" fillId="22"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64" fontId="0" fillId="3" borderId="11" xfId="0" applyNumberFormat="1" applyFill="1" applyBorder="1" applyAlignment="1">
      <alignment horizontal="center" vertical="center"/>
    </xf>
    <xf numFmtId="164" fontId="0" fillId="3" borderId="17" xfId="0" applyNumberFormat="1" applyFill="1" applyBorder="1" applyAlignment="1">
      <alignment horizontal="center" vertical="center"/>
    </xf>
    <xf numFmtId="164" fontId="0" fillId="3" borderId="8" xfId="0" applyNumberFormat="1" applyFill="1" applyBorder="1" applyAlignment="1">
      <alignment horizontal="center" vertical="center"/>
    </xf>
    <xf numFmtId="0" fontId="10" fillId="3" borderId="1" xfId="0" applyFont="1" applyFill="1" applyBorder="1" applyAlignment="1">
      <alignment horizont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0" borderId="1" xfId="0" applyFont="1" applyBorder="1" applyAlignment="1">
      <alignment horizontal="center"/>
    </xf>
    <xf numFmtId="165" fontId="6" fillId="5" borderId="10" xfId="1" applyFont="1" applyFill="1" applyBorder="1" applyAlignment="1">
      <alignment horizontal="center" vertical="center" wrapText="1"/>
    </xf>
    <xf numFmtId="165" fontId="6" fillId="5" borderId="29" xfId="1" applyFont="1" applyFill="1" applyBorder="1" applyAlignment="1">
      <alignment horizontal="center" vertical="center" wrapText="1"/>
    </xf>
    <xf numFmtId="165" fontId="6" fillId="5" borderId="7" xfId="1" applyFont="1" applyFill="1" applyBorder="1" applyAlignment="1">
      <alignment horizontal="center" vertical="center" wrapText="1"/>
    </xf>
    <xf numFmtId="0" fontId="0" fillId="0" borderId="10" xfId="0" applyBorder="1" applyAlignment="1">
      <alignment horizontal="center"/>
    </xf>
    <xf numFmtId="0" fontId="0" fillId="0" borderId="7" xfId="0" applyBorder="1" applyAlignment="1">
      <alignment horizontal="center"/>
    </xf>
    <xf numFmtId="165" fontId="10" fillId="24" borderId="1" xfId="3" applyFont="1" applyFill="1" applyBorder="1" applyAlignment="1">
      <alignment horizontal="center" vertical="center" wrapText="1"/>
    </xf>
    <xf numFmtId="165" fontId="6" fillId="24" borderId="11" xfId="3" applyFont="1" applyFill="1" applyBorder="1" applyAlignment="1">
      <alignment horizontal="center" vertical="center" wrapText="1"/>
    </xf>
    <xf numFmtId="165" fontId="6" fillId="24" borderId="8" xfId="3" applyFont="1" applyFill="1" applyBorder="1" applyAlignment="1">
      <alignment horizontal="center" vertical="center"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166" fontId="6" fillId="0" borderId="11" xfId="0" applyNumberFormat="1" applyFont="1" applyBorder="1" applyAlignment="1">
      <alignment horizontal="center" vertical="center"/>
    </xf>
    <xf numFmtId="0" fontId="6" fillId="0" borderId="8" xfId="0" applyFont="1" applyBorder="1" applyAlignment="1">
      <alignment horizontal="center" vertical="center"/>
    </xf>
    <xf numFmtId="170" fontId="6" fillId="0" borderId="11" xfId="0" applyNumberFormat="1" applyFont="1" applyBorder="1" applyAlignment="1">
      <alignment horizontal="center" vertical="center"/>
    </xf>
    <xf numFmtId="170" fontId="6" fillId="0" borderId="8" xfId="0" applyNumberFormat="1" applyFont="1" applyBorder="1" applyAlignment="1">
      <alignment horizontal="center" vertical="center"/>
    </xf>
    <xf numFmtId="0" fontId="6" fillId="0" borderId="17" xfId="0" applyFont="1" applyBorder="1" applyAlignment="1">
      <alignment horizontal="left" vertical="center" wrapText="1"/>
    </xf>
    <xf numFmtId="168" fontId="6" fillId="0" borderId="11" xfId="30" applyNumberFormat="1" applyFont="1" applyBorder="1" applyAlignment="1">
      <alignment horizontal="center" vertical="center"/>
    </xf>
    <xf numFmtId="168" fontId="6" fillId="0" borderId="17" xfId="30" applyNumberFormat="1" applyFont="1" applyBorder="1" applyAlignment="1">
      <alignment horizontal="center" vertical="center"/>
    </xf>
    <xf numFmtId="168" fontId="6" fillId="0" borderId="8" xfId="30" applyNumberFormat="1" applyFont="1" applyBorder="1" applyAlignment="1">
      <alignment horizontal="center" vertical="center"/>
    </xf>
    <xf numFmtId="168" fontId="6" fillId="0" borderId="11"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170" fontId="6" fillId="0" borderId="17" xfId="0" applyNumberFormat="1" applyFont="1" applyBorder="1" applyAlignment="1">
      <alignment horizontal="center" vertical="center"/>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6" fillId="0" borderId="8" xfId="0" applyFont="1" applyBorder="1" applyAlignment="1">
      <alignment horizontal="left" vertical="center"/>
    </xf>
    <xf numFmtId="0" fontId="10" fillId="13" borderId="1" xfId="0" applyFont="1" applyFill="1" applyBorder="1" applyAlignment="1">
      <alignment horizontal="center"/>
    </xf>
    <xf numFmtId="169" fontId="6" fillId="0" borderId="1" xfId="0" applyNumberFormat="1" applyFont="1" applyBorder="1" applyAlignment="1">
      <alignment horizontal="center" vertical="center"/>
    </xf>
    <xf numFmtId="0" fontId="0" fillId="0" borderId="47"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168" fontId="0" fillId="0" borderId="19" xfId="0" applyNumberFormat="1" applyBorder="1" applyAlignment="1">
      <alignment horizontal="center" vertical="center"/>
    </xf>
    <xf numFmtId="168" fontId="0" fillId="0" borderId="42" xfId="0" applyNumberFormat="1" applyBorder="1" applyAlignment="1">
      <alignment horizontal="center" vertical="center"/>
    </xf>
    <xf numFmtId="168" fontId="0" fillId="0" borderId="36" xfId="0" applyNumberFormat="1" applyBorder="1" applyAlignment="1">
      <alignment horizontal="center"/>
    </xf>
    <xf numFmtId="0" fontId="0" fillId="0" borderId="36" xfId="0" applyBorder="1" applyAlignment="1">
      <alignment horizontal="center"/>
    </xf>
    <xf numFmtId="0" fontId="0" fillId="0" borderId="68" xfId="0" applyBorder="1" applyAlignment="1">
      <alignment horizontal="left" vertical="center"/>
    </xf>
    <xf numFmtId="0" fontId="0" fillId="0" borderId="66" xfId="0" applyBorder="1" applyAlignment="1">
      <alignment horizontal="left" vertical="center"/>
    </xf>
    <xf numFmtId="0" fontId="0" fillId="0" borderId="69" xfId="0" applyBorder="1" applyAlignment="1">
      <alignment horizontal="left" vertical="center"/>
    </xf>
    <xf numFmtId="168"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47" xfId="0" applyBorder="1" applyAlignment="1">
      <alignment horizontal="left" vertical="center"/>
    </xf>
    <xf numFmtId="0" fontId="0" fillId="0" borderId="67" xfId="0" applyBorder="1" applyAlignment="1">
      <alignment horizontal="left" vertical="center"/>
    </xf>
    <xf numFmtId="168" fontId="0" fillId="0" borderId="11" xfId="0" applyNumberFormat="1" applyBorder="1" applyAlignment="1">
      <alignment horizontal="center" vertical="center"/>
    </xf>
    <xf numFmtId="168" fontId="0" fillId="0" borderId="17" xfId="0" applyNumberFormat="1" applyBorder="1" applyAlignment="1">
      <alignment horizontal="center" vertical="center"/>
    </xf>
    <xf numFmtId="168" fontId="0" fillId="0" borderId="8" xfId="0" applyNumberFormat="1" applyBorder="1" applyAlignment="1">
      <alignment horizontal="center" vertical="center"/>
    </xf>
    <xf numFmtId="0" fontId="0" fillId="0" borderId="8" xfId="0" applyBorder="1" applyAlignment="1">
      <alignment horizontal="center" vertical="center"/>
    </xf>
    <xf numFmtId="0" fontId="9" fillId="27" borderId="10" xfId="0" applyFont="1" applyFill="1" applyBorder="1" applyAlignment="1">
      <alignment horizontal="left"/>
    </xf>
    <xf numFmtId="0" fontId="9" fillId="27" borderId="29" xfId="0" applyFont="1" applyFill="1" applyBorder="1" applyAlignment="1">
      <alignment horizontal="left"/>
    </xf>
    <xf numFmtId="0" fontId="9" fillId="27" borderId="7" xfId="0" applyFont="1" applyFill="1" applyBorder="1" applyAlignment="1">
      <alignment horizontal="left"/>
    </xf>
    <xf numFmtId="0" fontId="10" fillId="27" borderId="18" xfId="0" applyFont="1" applyFill="1" applyBorder="1" applyAlignment="1">
      <alignment horizontal="center" vertical="center" wrapText="1"/>
    </xf>
    <xf numFmtId="0" fontId="10" fillId="27" borderId="27" xfId="0" applyFont="1" applyFill="1" applyBorder="1" applyAlignment="1">
      <alignment horizontal="center" vertical="center" wrapText="1"/>
    </xf>
    <xf numFmtId="0" fontId="10" fillId="27" borderId="44" xfId="0" applyFont="1" applyFill="1" applyBorder="1" applyAlignment="1">
      <alignment horizontal="center" vertical="center" wrapText="1"/>
    </xf>
    <xf numFmtId="0" fontId="10" fillId="27" borderId="14" xfId="0" applyFont="1" applyFill="1" applyBorder="1" applyAlignment="1">
      <alignment horizontal="center" vertical="center" wrapText="1"/>
    </xf>
    <xf numFmtId="0" fontId="10" fillId="27" borderId="28" xfId="0" applyFont="1" applyFill="1" applyBorder="1" applyAlignment="1">
      <alignment horizontal="center" vertical="center" wrapText="1"/>
    </xf>
    <xf numFmtId="0" fontId="10" fillId="27" borderId="15" xfId="0" applyFont="1" applyFill="1" applyBorder="1" applyAlignment="1">
      <alignment horizontal="center" vertical="center" wrapText="1"/>
    </xf>
    <xf numFmtId="3" fontId="5" fillId="0" borderId="1" xfId="0" applyNumberFormat="1" applyFont="1" applyBorder="1" applyAlignment="1">
      <alignment horizontal="center" vertical="center"/>
    </xf>
    <xf numFmtId="3" fontId="10" fillId="27" borderId="10" xfId="0" applyNumberFormat="1" applyFont="1" applyFill="1" applyBorder="1" applyAlignment="1">
      <alignment horizontal="left" vertical="center"/>
    </xf>
    <xf numFmtId="3" fontId="10" fillId="27" borderId="29" xfId="0" applyNumberFormat="1" applyFont="1" applyFill="1" applyBorder="1" applyAlignment="1">
      <alignment horizontal="left" vertical="center"/>
    </xf>
    <xf numFmtId="3" fontId="10" fillId="27" borderId="7" xfId="0" applyNumberFormat="1" applyFont="1" applyFill="1" applyBorder="1" applyAlignment="1">
      <alignment horizontal="left" vertical="center"/>
    </xf>
    <xf numFmtId="3" fontId="9" fillId="27" borderId="1" xfId="0" applyNumberFormat="1"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1"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8" xfId="0" applyNumberFormat="1" applyFont="1" applyBorder="1" applyAlignment="1">
      <alignment horizontal="center" vertical="center"/>
    </xf>
    <xf numFmtId="0" fontId="5"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left" vertical="center" wrapText="1"/>
    </xf>
    <xf numFmtId="0" fontId="5" fillId="0" borderId="17" xfId="0" applyFont="1" applyBorder="1" applyAlignment="1">
      <alignment horizontal="left" vertical="center" wrapText="1"/>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10" fillId="27" borderId="1" xfId="0" applyFont="1" applyFill="1" applyBorder="1" applyAlignment="1">
      <alignment horizontal="left" vertical="center"/>
    </xf>
    <xf numFmtId="0" fontId="10" fillId="27" borderId="1" xfId="0" applyFont="1" applyFill="1" applyBorder="1" applyAlignment="1">
      <alignment horizontal="center" vertical="center" wrapText="1"/>
    </xf>
    <xf numFmtId="0" fontId="10" fillId="27" borderId="1" xfId="0" applyFont="1" applyFill="1" applyBorder="1" applyAlignment="1">
      <alignment horizontal="center" vertical="center"/>
    </xf>
    <xf numFmtId="3" fontId="5" fillId="0" borderId="11" xfId="0" applyNumberFormat="1" applyFont="1" applyBorder="1" applyAlignment="1">
      <alignment horizontal="center" vertical="center" wrapText="1"/>
    </xf>
    <xf numFmtId="3" fontId="5" fillId="0" borderId="17"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0" fontId="5" fillId="0" borderId="8" xfId="0" applyFont="1" applyBorder="1" applyAlignment="1">
      <alignment horizontal="left" vertical="center" wrapText="1"/>
    </xf>
    <xf numFmtId="3" fontId="10" fillId="27" borderId="1" xfId="0" applyNumberFormat="1" applyFont="1" applyFill="1" applyBorder="1" applyAlignment="1">
      <alignment horizontal="center" vertical="center" wrapText="1"/>
    </xf>
    <xf numFmtId="3" fontId="10" fillId="27" borderId="1" xfId="0" applyNumberFormat="1" applyFont="1" applyFill="1" applyBorder="1" applyAlignment="1">
      <alignment horizontal="center" vertical="center"/>
    </xf>
    <xf numFmtId="3" fontId="10" fillId="27" borderId="1" xfId="0" applyNumberFormat="1" applyFont="1" applyFill="1" applyBorder="1" applyAlignment="1">
      <alignment horizontal="left" vertical="center"/>
    </xf>
    <xf numFmtId="0" fontId="5" fillId="0" borderId="1" xfId="0" applyFont="1" applyBorder="1" applyAlignment="1">
      <alignment horizontal="left" vertical="center"/>
    </xf>
    <xf numFmtId="3" fontId="6" fillId="0" borderId="1" xfId="30" applyNumberFormat="1" applyFont="1" applyBorder="1" applyAlignment="1">
      <alignment horizontal="center" vertical="center"/>
    </xf>
    <xf numFmtId="0" fontId="10" fillId="28" borderId="11" xfId="0" applyFont="1" applyFill="1" applyBorder="1" applyAlignment="1">
      <alignment horizontal="center" vertical="center" wrapText="1"/>
    </xf>
    <xf numFmtId="0" fontId="10" fillId="28" borderId="8"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8" xfId="0" applyFont="1" applyFill="1" applyBorder="1" applyAlignment="1">
      <alignment horizontal="center" vertical="center" wrapText="1"/>
    </xf>
    <xf numFmtId="9" fontId="0" fillId="3" borderId="11" xfId="2" applyFont="1" applyFill="1" applyBorder="1" applyAlignment="1">
      <alignment horizontal="center" vertical="center"/>
    </xf>
    <xf numFmtId="9" fontId="0" fillId="3" borderId="17" xfId="2" applyFont="1" applyFill="1" applyBorder="1" applyAlignment="1">
      <alignment horizontal="center" vertical="center"/>
    </xf>
    <xf numFmtId="9" fontId="0" fillId="3" borderId="8" xfId="2" applyFont="1" applyFill="1" applyBorder="1" applyAlignment="1">
      <alignment horizontal="center" vertical="center"/>
    </xf>
    <xf numFmtId="164" fontId="0" fillId="3" borderId="11" xfId="0" applyNumberFormat="1" applyFill="1" applyBorder="1" applyAlignment="1">
      <alignment horizontal="center"/>
    </xf>
    <xf numFmtId="164" fontId="0" fillId="3" borderId="17" xfId="0" applyNumberFormat="1" applyFill="1" applyBorder="1" applyAlignment="1">
      <alignment horizontal="center"/>
    </xf>
    <xf numFmtId="164" fontId="0" fillId="3" borderId="8" xfId="0" applyNumberFormat="1" applyFill="1" applyBorder="1" applyAlignment="1">
      <alignment horizontal="center"/>
    </xf>
    <xf numFmtId="0" fontId="9" fillId="22" borderId="36" xfId="0" applyFont="1" applyFill="1" applyBorder="1" applyAlignment="1">
      <alignment horizontal="center" vertical="center" wrapText="1"/>
    </xf>
    <xf numFmtId="0" fontId="9" fillId="22" borderId="0" xfId="0" applyFont="1" applyFill="1" applyAlignment="1">
      <alignment horizontal="center" vertical="center" wrapText="1"/>
    </xf>
    <xf numFmtId="0" fontId="9" fillId="22" borderId="14" xfId="0" applyFont="1" applyFill="1" applyBorder="1" applyAlignment="1">
      <alignment horizontal="center" vertical="center" wrapText="1"/>
    </xf>
    <xf numFmtId="0" fontId="9" fillId="22" borderId="28" xfId="0" applyFont="1" applyFill="1" applyBorder="1" applyAlignment="1">
      <alignment horizontal="center" vertical="center" wrapText="1"/>
    </xf>
    <xf numFmtId="0" fontId="6" fillId="9" borderId="7" xfId="0" applyFont="1" applyFill="1" applyBorder="1" applyAlignment="1">
      <alignment horizontal="center" wrapText="1"/>
    </xf>
    <xf numFmtId="0" fontId="10" fillId="7" borderId="10" xfId="0" applyFont="1" applyFill="1" applyBorder="1" applyAlignment="1">
      <alignment horizontal="center"/>
    </xf>
    <xf numFmtId="0" fontId="10" fillId="7" borderId="29" xfId="0" applyFont="1" applyFill="1" applyBorder="1" applyAlignment="1">
      <alignment horizontal="center"/>
    </xf>
    <xf numFmtId="0" fontId="10" fillId="7" borderId="7" xfId="0" applyFont="1" applyFill="1" applyBorder="1" applyAlignment="1">
      <alignment horizontal="center"/>
    </xf>
    <xf numFmtId="0" fontId="10" fillId="28" borderId="10" xfId="0" applyFont="1" applyFill="1" applyBorder="1" applyAlignment="1">
      <alignment horizontal="center"/>
    </xf>
    <xf numFmtId="0" fontId="10" fillId="28" borderId="29" xfId="0" applyFont="1" applyFill="1" applyBorder="1" applyAlignment="1">
      <alignment horizontal="center"/>
    </xf>
    <xf numFmtId="0" fontId="10" fillId="28" borderId="7" xfId="0" applyFont="1" applyFill="1" applyBorder="1" applyAlignment="1">
      <alignment horizontal="center"/>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17" xfId="0" applyFont="1" applyBorder="1" applyAlignment="1">
      <alignment horizontal="left" vertical="center" wrapText="1"/>
    </xf>
    <xf numFmtId="0" fontId="10" fillId="0" borderId="11" xfId="0" applyFont="1" applyBorder="1" applyAlignment="1">
      <alignment horizontal="left" vertical="center"/>
    </xf>
    <xf numFmtId="0" fontId="10" fillId="0" borderId="17" xfId="0" applyFont="1" applyBorder="1" applyAlignment="1">
      <alignment horizontal="left" vertical="center"/>
    </xf>
    <xf numFmtId="0" fontId="10" fillId="0" borderId="8" xfId="0" applyFont="1" applyBorder="1" applyAlignment="1">
      <alignment horizontal="left" vertical="center"/>
    </xf>
    <xf numFmtId="2" fontId="6" fillId="0" borderId="11" xfId="0" applyNumberFormat="1" applyFont="1" applyBorder="1" applyAlignment="1">
      <alignment horizontal="center" vertical="center"/>
    </xf>
    <xf numFmtId="2" fontId="6" fillId="0" borderId="17" xfId="0" applyNumberFormat="1" applyFont="1" applyBorder="1" applyAlignment="1">
      <alignment horizontal="center" vertical="center"/>
    </xf>
    <xf numFmtId="2" fontId="6" fillId="0" borderId="8" xfId="0" applyNumberFormat="1" applyFont="1" applyBorder="1" applyAlignment="1">
      <alignment horizontal="center" vertical="center"/>
    </xf>
    <xf numFmtId="0" fontId="27" fillId="33" borderId="1" xfId="0" applyFont="1" applyFill="1" applyBorder="1" applyAlignment="1">
      <alignment horizontal="center" vertical="center" wrapText="1"/>
    </xf>
    <xf numFmtId="0" fontId="9" fillId="22" borderId="1" xfId="0" applyFont="1" applyFill="1" applyBorder="1" applyAlignment="1">
      <alignment horizontal="center" vertical="center" wrapText="1"/>
    </xf>
    <xf numFmtId="0" fontId="27" fillId="22" borderId="1" xfId="0" applyFont="1" applyFill="1" applyBorder="1" applyAlignment="1">
      <alignment horizontal="center" vertical="center"/>
    </xf>
    <xf numFmtId="0" fontId="27" fillId="22" borderId="1" xfId="0" applyFont="1" applyFill="1" applyBorder="1" applyAlignment="1">
      <alignment horizontal="center" vertical="center" wrapText="1"/>
    </xf>
    <xf numFmtId="0" fontId="27" fillId="23"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20" fontId="11" fillId="29" borderId="1" xfId="0" applyNumberFormat="1" applyFont="1" applyFill="1" applyBorder="1" applyAlignment="1">
      <alignment horizontal="justify" vertical="center" wrapText="1"/>
    </xf>
    <xf numFmtId="20" fontId="11" fillId="29" borderId="11" xfId="0" applyNumberFormat="1" applyFont="1" applyFill="1" applyBorder="1" applyAlignment="1">
      <alignment horizontal="justify" vertical="center" wrapText="1"/>
    </xf>
    <xf numFmtId="0" fontId="14" fillId="31" borderId="49" xfId="0" applyFont="1" applyFill="1" applyBorder="1" applyAlignment="1">
      <alignment horizontal="center" vertical="center" wrapText="1"/>
    </xf>
    <xf numFmtId="0" fontId="14" fillId="31" borderId="50" xfId="0" applyFont="1" applyFill="1" applyBorder="1" applyAlignment="1">
      <alignment horizontal="center" vertical="center" wrapText="1"/>
    </xf>
    <xf numFmtId="0" fontId="11" fillId="31" borderId="1" xfId="0" applyFont="1" applyFill="1" applyBorder="1" applyAlignment="1">
      <alignment horizontal="center" vertical="center" wrapText="1"/>
    </xf>
    <xf numFmtId="0" fontId="11" fillId="31" borderId="3" xfId="0" applyFont="1" applyFill="1" applyBorder="1" applyAlignment="1">
      <alignment horizontal="center" vertical="center" wrapText="1"/>
    </xf>
    <xf numFmtId="0" fontId="14" fillId="29" borderId="49" xfId="0" applyFont="1" applyFill="1" applyBorder="1" applyAlignment="1">
      <alignment horizontal="center" vertical="center" wrapText="1"/>
    </xf>
    <xf numFmtId="0" fontId="14" fillId="29" borderId="19" xfId="0" applyFont="1" applyFill="1" applyBorder="1" applyAlignment="1">
      <alignment horizontal="center" vertical="center" wrapText="1"/>
    </xf>
    <xf numFmtId="0" fontId="14" fillId="31" borderId="19" xfId="0" applyFont="1" applyFill="1" applyBorder="1" applyAlignment="1">
      <alignment horizontal="center" vertical="center" wrapText="1"/>
    </xf>
    <xf numFmtId="0" fontId="11" fillId="31" borderId="11" xfId="0" applyFont="1" applyFill="1" applyBorder="1" applyAlignment="1">
      <alignment horizontal="center" vertical="center" wrapText="1"/>
    </xf>
    <xf numFmtId="0" fontId="11" fillId="29" borderId="1" xfId="0" applyFont="1" applyFill="1" applyBorder="1" applyAlignment="1">
      <alignment horizontal="center" vertical="center" wrapText="1"/>
    </xf>
    <xf numFmtId="0" fontId="11" fillId="29" borderId="1" xfId="0" applyFont="1" applyFill="1" applyBorder="1" applyAlignment="1">
      <alignment horizontal="justify" vertical="center" wrapText="1"/>
    </xf>
    <xf numFmtId="0" fontId="11" fillId="29" borderId="11" xfId="0" applyFont="1" applyFill="1" applyBorder="1" applyAlignment="1">
      <alignment horizontal="justify" vertical="center" wrapText="1"/>
    </xf>
    <xf numFmtId="20" fontId="11" fillId="29" borderId="11" xfId="0" applyNumberFormat="1" applyFont="1" applyFill="1" applyBorder="1" applyAlignment="1">
      <alignment horizontal="center" vertical="center" wrapText="1"/>
    </xf>
    <xf numFmtId="20" fontId="11" fillId="29" borderId="17" xfId="0" applyNumberFormat="1" applyFont="1" applyFill="1" applyBorder="1" applyAlignment="1">
      <alignment horizontal="center" vertical="center" wrapText="1"/>
    </xf>
    <xf numFmtId="0" fontId="7" fillId="2" borderId="64" xfId="0" applyFont="1" applyFill="1" applyBorder="1" applyAlignment="1">
      <alignment horizontal="center" vertical="top" wrapText="1"/>
    </xf>
    <xf numFmtId="0" fontId="7" fillId="2" borderId="49" xfId="0" applyFont="1" applyFill="1" applyBorder="1" applyAlignment="1">
      <alignment horizontal="center" vertical="top" wrapText="1"/>
    </xf>
    <xf numFmtId="0" fontId="7" fillId="2" borderId="19" xfId="0" applyFont="1" applyFill="1" applyBorder="1" applyAlignment="1">
      <alignment horizontal="center" vertical="top" wrapText="1"/>
    </xf>
    <xf numFmtId="0" fontId="7" fillId="2" borderId="36" xfId="0" applyFont="1" applyFill="1" applyBorder="1" applyAlignment="1">
      <alignment horizontal="center" vertical="center" wrapText="1"/>
    </xf>
    <xf numFmtId="0" fontId="7" fillId="2" borderId="0" xfId="0" applyFont="1" applyFill="1" applyAlignment="1">
      <alignment horizontal="center" vertical="center" wrapText="1"/>
    </xf>
    <xf numFmtId="0" fontId="14" fillId="29" borderId="50" xfId="0" applyFont="1" applyFill="1" applyBorder="1" applyAlignment="1">
      <alignment horizontal="center" vertical="center" wrapText="1"/>
    </xf>
    <xf numFmtId="0" fontId="11" fillId="29"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3" borderId="1" xfId="0" applyFont="1" applyFill="1" applyBorder="1" applyAlignment="1">
      <alignment horizont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9" fillId="4" borderId="1" xfId="0" applyFont="1" applyFill="1" applyBorder="1" applyAlignment="1">
      <alignment horizontal="center" vertical="center"/>
    </xf>
    <xf numFmtId="0" fontId="10" fillId="4" borderId="1" xfId="0" applyFont="1" applyFill="1" applyBorder="1" applyAlignment="1">
      <alignment horizontal="justify" vertical="center" wrapText="1"/>
    </xf>
    <xf numFmtId="0" fontId="8" fillId="21" borderId="1"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10" fillId="21"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165" fontId="10" fillId="22" borderId="1" xfId="1" applyFont="1" applyFill="1" applyBorder="1" applyAlignment="1">
      <alignment horizontal="center" vertical="center" wrapText="1"/>
    </xf>
    <xf numFmtId="0" fontId="6" fillId="13" borderId="1" xfId="0" applyFont="1" applyFill="1" applyBorder="1" applyAlignment="1">
      <alignment horizontal="center" vertical="center"/>
    </xf>
    <xf numFmtId="0" fontId="6" fillId="1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165" fontId="6" fillId="13" borderId="1" xfId="1" applyFont="1" applyFill="1" applyBorder="1" applyAlignment="1">
      <alignment horizontal="center" vertical="center" wrapText="1"/>
    </xf>
    <xf numFmtId="0" fontId="0" fillId="13" borderId="1" xfId="0" applyFill="1" applyBorder="1" applyAlignment="1">
      <alignment horizontal="center" vertical="center" wrapText="1"/>
    </xf>
    <xf numFmtId="0" fontId="6" fillId="20" borderId="1" xfId="0" applyFont="1" applyFill="1" applyBorder="1" applyAlignment="1">
      <alignment horizontal="center" vertical="center" wrapText="1"/>
    </xf>
    <xf numFmtId="10" fontId="10" fillId="22" borderId="11" xfId="2" applyNumberFormat="1" applyFont="1" applyFill="1" applyBorder="1" applyAlignment="1">
      <alignment horizontal="center" vertical="center" wrapText="1"/>
    </xf>
    <xf numFmtId="10" fontId="10" fillId="22" borderId="8" xfId="2" applyNumberFormat="1" applyFont="1" applyFill="1" applyBorder="1" applyAlignment="1">
      <alignment horizontal="center" vertical="center" wrapText="1"/>
    </xf>
    <xf numFmtId="165" fontId="6" fillId="20" borderId="1" xfId="1" applyFont="1" applyFill="1" applyBorder="1" applyAlignment="1">
      <alignment horizontal="center" vertical="center" wrapText="1"/>
    </xf>
    <xf numFmtId="165" fontId="6" fillId="13" borderId="11" xfId="1" applyFont="1" applyFill="1" applyBorder="1" applyAlignment="1">
      <alignment horizontal="center" vertical="center" wrapText="1"/>
    </xf>
    <xf numFmtId="165" fontId="6" fillId="13" borderId="8" xfId="1" applyFont="1" applyFill="1" applyBorder="1" applyAlignment="1">
      <alignment horizontal="center" vertical="center" wrapText="1"/>
    </xf>
    <xf numFmtId="10" fontId="6" fillId="20" borderId="1" xfId="2" applyNumberFormat="1" applyFont="1" applyFill="1" applyBorder="1" applyAlignment="1">
      <alignment horizontal="center" vertical="center" wrapText="1"/>
    </xf>
    <xf numFmtId="10" fontId="30" fillId="22" borderId="11" xfId="2" applyNumberFormat="1" applyFont="1" applyFill="1" applyBorder="1" applyAlignment="1">
      <alignment horizontal="center" vertical="center" wrapText="1"/>
    </xf>
    <xf numFmtId="10" fontId="30" fillId="22" borderId="17" xfId="2" applyNumberFormat="1" applyFont="1" applyFill="1" applyBorder="1" applyAlignment="1">
      <alignment horizontal="center" vertical="center" wrapText="1"/>
    </xf>
    <xf numFmtId="10" fontId="30" fillId="22" borderId="8" xfId="2" applyNumberFormat="1" applyFont="1" applyFill="1" applyBorder="1" applyAlignment="1">
      <alignment horizontal="center" vertical="center" wrapText="1"/>
    </xf>
    <xf numFmtId="165" fontId="6" fillId="20" borderId="11" xfId="0" applyNumberFormat="1" applyFont="1" applyFill="1" applyBorder="1" applyAlignment="1">
      <alignment horizontal="center" vertical="center" wrapText="1"/>
    </xf>
    <xf numFmtId="0" fontId="6" fillId="20" borderId="8" xfId="0" applyFont="1" applyFill="1" applyBorder="1" applyAlignment="1">
      <alignment horizontal="center" vertical="center" wrapText="1"/>
    </xf>
    <xf numFmtId="0" fontId="8" fillId="22" borderId="6" xfId="0" applyFont="1" applyFill="1" applyBorder="1" applyAlignment="1">
      <alignment horizontal="center" vertical="center" wrapText="1"/>
    </xf>
    <xf numFmtId="0" fontId="8" fillId="22" borderId="4"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10" fillId="22" borderId="8" xfId="0" applyFont="1" applyFill="1" applyBorder="1" applyAlignment="1">
      <alignment horizontal="center" vertical="center" wrapText="1"/>
    </xf>
    <xf numFmtId="0" fontId="10" fillId="22" borderId="11" xfId="0" applyFont="1" applyFill="1" applyBorder="1" applyAlignment="1">
      <alignment horizontal="center" vertical="center" wrapText="1"/>
    </xf>
    <xf numFmtId="10" fontId="6" fillId="22" borderId="11" xfId="2" applyNumberFormat="1" applyFont="1" applyFill="1" applyBorder="1" applyAlignment="1">
      <alignment horizontal="center" vertical="center" wrapText="1"/>
    </xf>
    <xf numFmtId="10" fontId="6" fillId="22" borderId="17" xfId="2" applyNumberFormat="1" applyFont="1" applyFill="1" applyBorder="1" applyAlignment="1">
      <alignment horizontal="center" vertical="center" wrapText="1"/>
    </xf>
    <xf numFmtId="10" fontId="6" fillId="22" borderId="8" xfId="2" applyNumberFormat="1" applyFont="1" applyFill="1" applyBorder="1" applyAlignment="1">
      <alignment horizontal="center" vertical="center" wrapText="1"/>
    </xf>
    <xf numFmtId="165" fontId="30" fillId="15" borderId="1" xfId="1" applyFont="1" applyFill="1" applyBorder="1" applyAlignment="1">
      <alignment horizontal="center" vertical="center" wrapText="1"/>
    </xf>
    <xf numFmtId="165" fontId="30" fillId="22" borderId="11" xfId="1" applyFont="1" applyFill="1" applyBorder="1" applyAlignment="1">
      <alignment horizontal="center" vertical="center" wrapText="1"/>
    </xf>
    <xf numFmtId="165" fontId="30" fillId="22" borderId="17" xfId="1" applyFont="1" applyFill="1" applyBorder="1" applyAlignment="1">
      <alignment horizontal="center" vertical="center" wrapText="1"/>
    </xf>
    <xf numFmtId="165" fontId="30" fillId="22" borderId="8" xfId="1" applyFont="1" applyFill="1" applyBorder="1" applyAlignment="1">
      <alignment horizontal="center" vertical="center" wrapText="1"/>
    </xf>
    <xf numFmtId="165" fontId="6" fillId="22" borderId="11" xfId="1" applyFont="1" applyFill="1" applyBorder="1" applyAlignment="1">
      <alignment horizontal="center" vertical="center" wrapText="1"/>
    </xf>
    <xf numFmtId="165" fontId="6" fillId="22" borderId="17" xfId="1" applyFont="1" applyFill="1" applyBorder="1" applyAlignment="1">
      <alignment horizontal="center" vertical="center" wrapText="1"/>
    </xf>
    <xf numFmtId="165" fontId="6" fillId="22" borderId="8" xfId="1" applyFont="1" applyFill="1" applyBorder="1" applyAlignment="1">
      <alignment horizontal="center" vertical="center" wrapText="1"/>
    </xf>
    <xf numFmtId="0" fontId="10" fillId="4" borderId="8" xfId="0" applyFont="1" applyFill="1" applyBorder="1" applyAlignment="1">
      <alignment horizontal="justify" vertical="center" wrapText="1"/>
    </xf>
    <xf numFmtId="0" fontId="10" fillId="4" borderId="11" xfId="0" applyFont="1" applyFill="1" applyBorder="1" applyAlignment="1">
      <alignment horizontal="justify" vertical="center" wrapText="1"/>
    </xf>
    <xf numFmtId="0" fontId="8" fillId="3" borderId="10"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0" fillId="22" borderId="14" xfId="0" applyFont="1" applyFill="1" applyBorder="1" applyAlignment="1">
      <alignment horizontal="center" vertical="center" wrapText="1"/>
    </xf>
    <xf numFmtId="0" fontId="10" fillId="22" borderId="18" xfId="0" applyFont="1" applyFill="1" applyBorder="1" applyAlignment="1">
      <alignment horizontal="center" vertical="center" wrapText="1"/>
    </xf>
    <xf numFmtId="165" fontId="6" fillId="20" borderId="8" xfId="0" applyNumberFormat="1" applyFont="1" applyFill="1" applyBorder="1" applyAlignment="1">
      <alignment horizontal="center" vertical="center" wrapText="1"/>
    </xf>
    <xf numFmtId="0" fontId="0" fillId="15" borderId="11" xfId="0" applyFill="1" applyBorder="1" applyAlignment="1">
      <alignment horizontal="center" vertical="center" wrapText="1"/>
    </xf>
    <xf numFmtId="0" fontId="0" fillId="15" borderId="17" xfId="0" applyFill="1" applyBorder="1" applyAlignment="1">
      <alignment horizontal="center" vertical="center" wrapText="1"/>
    </xf>
    <xf numFmtId="0" fontId="0" fillId="15" borderId="8" xfId="0" applyFill="1" applyBorder="1" applyAlignment="1">
      <alignment horizontal="center" vertical="center" wrapText="1"/>
    </xf>
    <xf numFmtId="0" fontId="6" fillId="20" borderId="18" xfId="0" applyFont="1" applyFill="1" applyBorder="1" applyAlignment="1">
      <alignment horizontal="left" vertical="center" wrapText="1"/>
    </xf>
    <xf numFmtId="0" fontId="6" fillId="20" borderId="27" xfId="0" applyFont="1" applyFill="1" applyBorder="1" applyAlignment="1">
      <alignment horizontal="left" vertical="center" wrapText="1"/>
    </xf>
    <xf numFmtId="0" fontId="6" fillId="20" borderId="44" xfId="0" applyFont="1" applyFill="1" applyBorder="1" applyAlignment="1">
      <alignment horizontal="left" vertical="center" wrapText="1"/>
    </xf>
    <xf numFmtId="0" fontId="6" fillId="20" borderId="14" xfId="0" applyFont="1" applyFill="1" applyBorder="1" applyAlignment="1">
      <alignment horizontal="left" vertical="center" wrapText="1"/>
    </xf>
    <xf numFmtId="0" fontId="6" fillId="20" borderId="28" xfId="0" applyFont="1" applyFill="1" applyBorder="1" applyAlignment="1">
      <alignment horizontal="left" vertical="center" wrapText="1"/>
    </xf>
    <xf numFmtId="0" fontId="6" fillId="20" borderId="15" xfId="0" applyFont="1" applyFill="1" applyBorder="1" applyAlignment="1">
      <alignment horizontal="left" vertical="center" wrapText="1"/>
    </xf>
    <xf numFmtId="0" fontId="6" fillId="15" borderId="12" xfId="0" applyFont="1" applyFill="1" applyBorder="1" applyAlignment="1">
      <alignment horizontal="center" vertical="center"/>
    </xf>
    <xf numFmtId="165" fontId="6" fillId="20" borderId="12" xfId="0" applyNumberFormat="1" applyFont="1" applyFill="1" applyBorder="1" applyAlignment="1">
      <alignment horizontal="center" vertical="center" wrapText="1"/>
    </xf>
    <xf numFmtId="0" fontId="10" fillId="21" borderId="10" xfId="0" applyFont="1" applyFill="1" applyBorder="1" applyAlignment="1">
      <alignment horizontal="center" vertical="center" wrapText="1"/>
    </xf>
    <xf numFmtId="0" fontId="10" fillId="21" borderId="29" xfId="0" applyFont="1" applyFill="1" applyBorder="1" applyAlignment="1">
      <alignment horizontal="center" vertical="center" wrapText="1"/>
    </xf>
    <xf numFmtId="0" fontId="10" fillId="21" borderId="7"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7" xfId="0" applyFont="1" applyFill="1" applyBorder="1" applyAlignment="1">
      <alignment horizontal="center" vertical="center" wrapText="1"/>
    </xf>
    <xf numFmtId="165" fontId="6" fillId="20" borderId="11" xfId="1" applyFont="1" applyFill="1" applyBorder="1" applyAlignment="1">
      <alignment horizontal="center" vertical="center" wrapText="1"/>
    </xf>
    <xf numFmtId="165" fontId="6" fillId="20" borderId="8" xfId="1" applyFont="1" applyFill="1" applyBorder="1" applyAlignment="1">
      <alignment horizontal="center" vertical="center" wrapText="1"/>
    </xf>
    <xf numFmtId="165" fontId="6" fillId="20" borderId="17" xfId="1"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6" fillId="7" borderId="1" xfId="0" applyFont="1" applyFill="1" applyBorder="1" applyAlignment="1">
      <alignment horizontal="center" vertical="center" wrapText="1"/>
    </xf>
    <xf numFmtId="165" fontId="6" fillId="7" borderId="1" xfId="1" applyFont="1" applyFill="1" applyBorder="1" applyAlignment="1">
      <alignment horizontal="center" vertical="center" wrapText="1"/>
    </xf>
    <xf numFmtId="165" fontId="6" fillId="7" borderId="11" xfId="1" applyFont="1" applyFill="1" applyBorder="1" applyAlignment="1">
      <alignment horizontal="center" vertical="center" wrapText="1"/>
    </xf>
    <xf numFmtId="165" fontId="6" fillId="7" borderId="8" xfId="1" applyFont="1" applyFill="1" applyBorder="1" applyAlignment="1">
      <alignment horizontal="center" vertical="center" wrapText="1"/>
    </xf>
    <xf numFmtId="0" fontId="6" fillId="20" borderId="36" xfId="0" applyFont="1" applyFill="1" applyBorder="1" applyAlignment="1">
      <alignment horizontal="left" vertical="center" wrapText="1"/>
    </xf>
    <xf numFmtId="0" fontId="6" fillId="20" borderId="0" xfId="0" applyFont="1" applyFill="1" applyAlignment="1">
      <alignment horizontal="left" vertical="center" wrapText="1"/>
    </xf>
    <xf numFmtId="0" fontId="6" fillId="20" borderId="43" xfId="0" applyFont="1" applyFill="1" applyBorder="1" applyAlignment="1">
      <alignment horizontal="left" vertical="center" wrapText="1"/>
    </xf>
    <xf numFmtId="0" fontId="6" fillId="3" borderId="42" xfId="0" applyFont="1" applyFill="1" applyBorder="1" applyAlignment="1">
      <alignment horizontal="center" vertical="center"/>
    </xf>
    <xf numFmtId="0" fontId="0" fillId="9" borderId="11" xfId="0" applyFill="1" applyBorder="1" applyAlignment="1">
      <alignment horizontal="center" vertical="center" wrapText="1"/>
    </xf>
    <xf numFmtId="0" fontId="0" fillId="9" borderId="8" xfId="0" applyFill="1" applyBorder="1" applyAlignment="1">
      <alignment horizontal="center" vertical="center" wrapText="1"/>
    </xf>
    <xf numFmtId="165" fontId="6" fillId="9" borderId="11" xfId="1" applyFont="1" applyFill="1" applyBorder="1" applyAlignment="1">
      <alignment horizontal="center" vertical="center" wrapText="1"/>
    </xf>
    <xf numFmtId="165" fontId="6" fillId="9" borderId="8" xfId="1" applyFont="1" applyFill="1" applyBorder="1" applyAlignment="1">
      <alignment horizontal="center" vertical="center" wrapText="1"/>
    </xf>
    <xf numFmtId="0" fontId="6" fillId="13" borderId="10" xfId="0" applyFont="1" applyFill="1" applyBorder="1" applyAlignment="1">
      <alignment horizontal="left" vertical="center" wrapText="1"/>
    </xf>
    <xf numFmtId="0" fontId="6" fillId="13" borderId="29"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0" fillId="9" borderId="17" xfId="0" applyFill="1" applyBorder="1" applyAlignment="1">
      <alignment horizontal="center" vertical="center" wrapText="1"/>
    </xf>
    <xf numFmtId="165" fontId="6" fillId="9" borderId="17" xfId="1" applyFont="1" applyFill="1" applyBorder="1" applyAlignment="1">
      <alignment horizontal="center" vertical="center" wrapText="1"/>
    </xf>
    <xf numFmtId="0" fontId="6" fillId="20" borderId="10" xfId="0" applyFont="1" applyFill="1" applyBorder="1" applyAlignment="1">
      <alignment horizontal="left" vertical="center" wrapText="1"/>
    </xf>
    <xf numFmtId="0" fontId="6" fillId="20" borderId="29" xfId="0" applyFont="1" applyFill="1" applyBorder="1" applyAlignment="1">
      <alignment horizontal="left" vertical="center" wrapText="1"/>
    </xf>
    <xf numFmtId="0" fontId="6" fillId="20" borderId="7" xfId="0" applyFont="1" applyFill="1" applyBorder="1" applyAlignment="1">
      <alignment horizontal="left" vertical="center" wrapText="1"/>
    </xf>
    <xf numFmtId="165" fontId="6" fillId="15" borderId="12" xfId="1" applyFont="1" applyFill="1" applyBorder="1" applyAlignment="1">
      <alignment horizontal="center" vertical="center" wrapText="1"/>
    </xf>
    <xf numFmtId="165" fontId="6" fillId="15" borderId="9" xfId="1" applyFont="1" applyFill="1" applyBorder="1" applyAlignment="1">
      <alignment horizontal="center" vertical="center" wrapText="1"/>
    </xf>
    <xf numFmtId="0" fontId="6" fillId="20" borderId="1" xfId="0" applyFont="1" applyFill="1" applyBorder="1" applyAlignment="1">
      <alignment horizontal="left" vertical="center" wrapText="1"/>
    </xf>
    <xf numFmtId="9" fontId="11" fillId="15" borderId="12" xfId="0" applyNumberFormat="1" applyFont="1" applyFill="1" applyBorder="1" applyAlignment="1">
      <alignment horizontal="center" vertical="center"/>
    </xf>
    <xf numFmtId="0" fontId="9" fillId="20" borderId="18" xfId="0" applyFont="1" applyFill="1" applyBorder="1" applyAlignment="1">
      <alignment horizontal="left" vertical="center" wrapText="1"/>
    </xf>
    <xf numFmtId="0" fontId="9" fillId="20" borderId="27" xfId="0" applyFont="1" applyFill="1" applyBorder="1" applyAlignment="1">
      <alignment horizontal="left" vertical="center" wrapText="1"/>
    </xf>
    <xf numFmtId="0" fontId="9" fillId="20" borderId="44" xfId="0" applyFont="1" applyFill="1" applyBorder="1" applyAlignment="1">
      <alignment horizontal="left" vertical="center" wrapText="1"/>
    </xf>
    <xf numFmtId="0" fontId="9" fillId="20" borderId="14" xfId="0" applyFont="1" applyFill="1" applyBorder="1" applyAlignment="1">
      <alignment horizontal="left" vertical="center" wrapText="1"/>
    </xf>
    <xf numFmtId="0" fontId="9" fillId="20" borderId="28" xfId="0" applyFont="1" applyFill="1" applyBorder="1" applyAlignment="1">
      <alignment horizontal="left" vertical="center" wrapText="1"/>
    </xf>
    <xf numFmtId="0" fontId="9" fillId="20" borderId="15" xfId="0" applyFont="1" applyFill="1" applyBorder="1" applyAlignment="1">
      <alignment horizontal="left" vertical="center" wrapText="1"/>
    </xf>
    <xf numFmtId="0" fontId="9" fillId="20" borderId="10" xfId="0" applyFont="1" applyFill="1" applyBorder="1" applyAlignment="1">
      <alignment horizontal="left" vertical="center" wrapText="1"/>
    </xf>
    <xf numFmtId="0" fontId="9" fillId="20" borderId="29" xfId="0" applyFont="1" applyFill="1" applyBorder="1" applyAlignment="1">
      <alignment horizontal="left" vertical="center" wrapText="1"/>
    </xf>
    <xf numFmtId="0" fontId="9" fillId="20" borderId="7" xfId="0" applyFont="1" applyFill="1" applyBorder="1" applyAlignment="1">
      <alignment horizontal="left" vertical="center" wrapText="1"/>
    </xf>
    <xf numFmtId="0" fontId="9" fillId="20" borderId="46" xfId="0" applyFont="1" applyFill="1" applyBorder="1" applyAlignment="1">
      <alignment horizontal="left" vertical="center" wrapText="1"/>
    </xf>
    <xf numFmtId="0" fontId="9" fillId="20" borderId="0" xfId="0" applyFont="1" applyFill="1" applyAlignment="1">
      <alignment horizontal="left" vertical="center" wrapText="1"/>
    </xf>
    <xf numFmtId="0" fontId="27" fillId="22" borderId="10" xfId="0" applyFont="1" applyFill="1" applyBorder="1" applyAlignment="1">
      <alignment horizontal="center"/>
    </xf>
    <xf numFmtId="0" fontId="27" fillId="22" borderId="29" xfId="0" applyFont="1" applyFill="1" applyBorder="1" applyAlignment="1">
      <alignment horizontal="center"/>
    </xf>
    <xf numFmtId="0" fontId="27" fillId="22" borderId="53" xfId="0" applyFont="1" applyFill="1" applyBorder="1" applyAlignment="1">
      <alignment horizontal="center"/>
    </xf>
    <xf numFmtId="0" fontId="9" fillId="22" borderId="56" xfId="0" applyFont="1" applyFill="1" applyBorder="1" applyAlignment="1">
      <alignment horizontal="center" vertical="center"/>
    </xf>
    <xf numFmtId="0" fontId="9" fillId="22" borderId="46" xfId="0" applyFont="1" applyFill="1" applyBorder="1" applyAlignment="1">
      <alignment horizontal="center" vertical="center"/>
    </xf>
    <xf numFmtId="0" fontId="9" fillId="22" borderId="57" xfId="0" applyFont="1" applyFill="1" applyBorder="1" applyAlignment="1">
      <alignment horizontal="center" vertical="center"/>
    </xf>
    <xf numFmtId="0" fontId="9" fillId="22" borderId="37" xfId="0" applyFont="1" applyFill="1" applyBorder="1" applyAlignment="1">
      <alignment horizontal="center" vertical="center"/>
    </xf>
    <xf numFmtId="0" fontId="9" fillId="22" borderId="45" xfId="0" applyFont="1" applyFill="1" applyBorder="1" applyAlignment="1">
      <alignment horizontal="center" vertical="center"/>
    </xf>
    <xf numFmtId="0" fontId="9" fillId="22" borderId="55" xfId="0" applyFont="1" applyFill="1" applyBorder="1" applyAlignment="1">
      <alignment horizontal="center" vertical="center"/>
    </xf>
    <xf numFmtId="0" fontId="10" fillId="22" borderId="47" xfId="0" applyFont="1" applyFill="1" applyBorder="1" applyAlignment="1">
      <alignment horizontal="center"/>
    </xf>
    <xf numFmtId="0" fontId="10" fillId="22" borderId="4" xfId="0" applyFont="1" applyFill="1" applyBorder="1" applyAlignment="1">
      <alignment horizontal="center"/>
    </xf>
    <xf numFmtId="0" fontId="10" fillId="22" borderId="48" xfId="0" applyFont="1" applyFill="1" applyBorder="1" applyAlignment="1">
      <alignment horizontal="center"/>
    </xf>
    <xf numFmtId="0" fontId="9" fillId="22" borderId="11" xfId="0" applyFont="1" applyFill="1" applyBorder="1" applyAlignment="1">
      <alignment horizontal="center" vertical="center" wrapText="1"/>
    </xf>
    <xf numFmtId="0" fontId="9" fillId="22" borderId="8" xfId="0" applyFont="1" applyFill="1" applyBorder="1" applyAlignment="1">
      <alignment horizontal="center" vertical="center" wrapText="1"/>
    </xf>
    <xf numFmtId="0" fontId="27" fillId="22" borderId="49" xfId="0" applyFont="1" applyFill="1" applyBorder="1" applyAlignment="1">
      <alignment horizontal="center" vertical="center"/>
    </xf>
    <xf numFmtId="0" fontId="27" fillId="22" borderId="1" xfId="0" applyFont="1" applyFill="1" applyBorder="1" applyAlignment="1">
      <alignment horizontal="center"/>
    </xf>
    <xf numFmtId="0" fontId="9" fillId="22" borderId="49" xfId="0" applyFont="1" applyFill="1" applyBorder="1" applyAlignment="1">
      <alignment horizontal="center" vertical="center"/>
    </xf>
    <xf numFmtId="0" fontId="27" fillId="22" borderId="7" xfId="0" applyFont="1" applyFill="1" applyBorder="1" applyAlignment="1">
      <alignment horizontal="center"/>
    </xf>
    <xf numFmtId="0" fontId="9" fillId="22" borderId="52" xfId="0" applyFont="1" applyFill="1" applyBorder="1" applyAlignment="1">
      <alignment horizontal="center" vertical="center" wrapText="1"/>
    </xf>
    <xf numFmtId="0" fontId="9" fillId="22" borderId="58" xfId="0" applyFont="1" applyFill="1" applyBorder="1" applyAlignment="1">
      <alignment horizontal="center" vertical="center" wrapText="1"/>
    </xf>
    <xf numFmtId="0" fontId="9" fillId="22" borderId="13" xfId="0" applyFont="1" applyFill="1" applyBorder="1" applyAlignment="1">
      <alignment horizontal="center" vertical="center" wrapText="1"/>
    </xf>
    <xf numFmtId="9" fontId="35" fillId="26" borderId="59" xfId="0" applyNumberFormat="1" applyFont="1" applyFill="1" applyBorder="1" applyAlignment="1">
      <alignment horizontal="center" vertical="center"/>
    </xf>
    <xf numFmtId="9" fontId="35" fillId="26" borderId="60" xfId="0" applyNumberFormat="1" applyFont="1" applyFill="1" applyBorder="1" applyAlignment="1">
      <alignment horizontal="center" vertical="center"/>
    </xf>
    <xf numFmtId="9" fontId="35" fillId="26" borderId="61" xfId="0" applyNumberFormat="1" applyFont="1" applyFill="1" applyBorder="1" applyAlignment="1">
      <alignment horizontal="center" vertical="center"/>
    </xf>
    <xf numFmtId="0" fontId="9" fillId="22" borderId="47" xfId="0" applyFont="1" applyFill="1" applyBorder="1" applyAlignment="1">
      <alignment horizontal="center"/>
    </xf>
    <xf numFmtId="0" fontId="9" fillId="22" borderId="4" xfId="0" applyFont="1" applyFill="1" applyBorder="1" applyAlignment="1">
      <alignment horizontal="center"/>
    </xf>
    <xf numFmtId="0" fontId="9" fillId="22" borderId="48" xfId="0" applyFont="1" applyFill="1" applyBorder="1" applyAlignment="1">
      <alignment horizontal="center"/>
    </xf>
    <xf numFmtId="0" fontId="10" fillId="2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10" fillId="23" borderId="18" xfId="0" applyFont="1" applyFill="1" applyBorder="1" applyAlignment="1">
      <alignment horizontal="center" vertical="center" wrapText="1"/>
    </xf>
    <xf numFmtId="0" fontId="10" fillId="23" borderId="27" xfId="0" applyFont="1" applyFill="1" applyBorder="1" applyAlignment="1">
      <alignment horizontal="center" vertical="center" wrapText="1"/>
    </xf>
    <xf numFmtId="0" fontId="10" fillId="23" borderId="44" xfId="0" applyFont="1" applyFill="1" applyBorder="1" applyAlignment="1">
      <alignment horizontal="center" vertical="center" wrapText="1"/>
    </xf>
    <xf numFmtId="0" fontId="10" fillId="23" borderId="14" xfId="0" applyFont="1" applyFill="1" applyBorder="1" applyAlignment="1">
      <alignment horizontal="center" vertical="center" wrapText="1"/>
    </xf>
    <xf numFmtId="0" fontId="10" fillId="23" borderId="28" xfId="0" applyFont="1" applyFill="1" applyBorder="1" applyAlignment="1">
      <alignment horizontal="center" vertical="center" wrapText="1"/>
    </xf>
    <xf numFmtId="0" fontId="10" fillId="23" borderId="15" xfId="0" applyFont="1" applyFill="1" applyBorder="1" applyAlignment="1">
      <alignment horizontal="center" vertical="center" wrapText="1"/>
    </xf>
    <xf numFmtId="0" fontId="5" fillId="0" borderId="11" xfId="0" applyFont="1" applyBorder="1" applyAlignment="1">
      <alignment horizontal="center" vertical="top" wrapText="1"/>
    </xf>
    <xf numFmtId="0" fontId="5" fillId="0" borderId="17" xfId="0" applyFont="1" applyBorder="1" applyAlignment="1">
      <alignment horizontal="center" vertical="top" wrapText="1"/>
    </xf>
    <xf numFmtId="0" fontId="5" fillId="0" borderId="8" xfId="0" applyFont="1" applyBorder="1" applyAlignment="1">
      <alignment horizontal="center" vertical="top" wrapText="1"/>
    </xf>
    <xf numFmtId="166" fontId="5" fillId="0" borderId="11" xfId="30" applyFont="1" applyBorder="1" applyAlignment="1">
      <alignment horizontal="center" vertical="center" wrapText="1"/>
    </xf>
    <xf numFmtId="166" fontId="5" fillId="0" borderId="17" xfId="30" applyFont="1" applyBorder="1" applyAlignment="1">
      <alignment horizontal="center" vertical="center" wrapText="1"/>
    </xf>
    <xf numFmtId="166" fontId="5" fillId="0" borderId="8" xfId="30" applyFont="1" applyBorder="1" applyAlignment="1">
      <alignment horizontal="center" vertical="center" wrapText="1"/>
    </xf>
    <xf numFmtId="166" fontId="5" fillId="0" borderId="1" xfId="30" applyFont="1" applyBorder="1" applyAlignment="1">
      <alignment horizontal="center" vertical="center"/>
    </xf>
    <xf numFmtId="0" fontId="1" fillId="6" borderId="75" xfId="0" applyFont="1" applyFill="1" applyBorder="1" applyAlignment="1">
      <alignment vertical="center" wrapText="1"/>
    </xf>
    <xf numFmtId="0" fontId="1" fillId="9" borderId="34" xfId="0" applyFont="1" applyFill="1" applyBorder="1" applyAlignment="1">
      <alignment vertical="center" wrapText="1"/>
    </xf>
    <xf numFmtId="0" fontId="1" fillId="5" borderId="33" xfId="0" applyFont="1" applyFill="1" applyBorder="1" applyAlignment="1">
      <alignment vertical="center" wrapText="1"/>
    </xf>
    <xf numFmtId="0" fontId="1" fillId="7" borderId="33" xfId="0" applyFont="1" applyFill="1" applyBorder="1" applyAlignment="1">
      <alignment vertical="center" wrapText="1"/>
    </xf>
    <xf numFmtId="167" fontId="6" fillId="3" borderId="12" xfId="0" applyNumberFormat="1" applyFont="1" applyFill="1" applyBorder="1" applyAlignment="1">
      <alignment horizontal="center" vertical="center" wrapText="1"/>
    </xf>
    <xf numFmtId="167" fontId="6" fillId="3" borderId="1" xfId="0" applyNumberFormat="1" applyFont="1" applyFill="1" applyBorder="1" applyAlignment="1">
      <alignment horizontal="center" vertical="center" wrapText="1"/>
    </xf>
    <xf numFmtId="167" fontId="6" fillId="3" borderId="8" xfId="0" applyNumberFormat="1" applyFont="1" applyFill="1" applyBorder="1" applyAlignment="1">
      <alignment horizontal="center" vertical="center" wrapText="1"/>
    </xf>
    <xf numFmtId="167" fontId="6" fillId="3" borderId="17" xfId="0" applyNumberFormat="1" applyFont="1" applyFill="1" applyBorder="1" applyAlignment="1">
      <alignment horizontal="center" vertical="center" wrapText="1"/>
    </xf>
    <xf numFmtId="167" fontId="6" fillId="3" borderId="9" xfId="0" applyNumberFormat="1" applyFont="1" applyFill="1" applyBorder="1" applyAlignment="1">
      <alignment horizontal="center" vertical="center" wrapText="1"/>
    </xf>
    <xf numFmtId="167" fontId="6" fillId="3" borderId="17" xfId="0" applyNumberFormat="1"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7" xfId="0" applyFont="1" applyFill="1" applyBorder="1" applyAlignment="1">
      <alignment horizontal="center" vertical="center" wrapText="1"/>
    </xf>
    <xf numFmtId="9" fontId="11" fillId="15" borderId="8" xfId="0" applyNumberFormat="1" applyFont="1" applyFill="1" applyBorder="1" applyAlignment="1">
      <alignment vertical="center"/>
    </xf>
    <xf numFmtId="9" fontId="11" fillId="15" borderId="1" xfId="0" applyNumberFormat="1" applyFont="1" applyFill="1" applyBorder="1" applyAlignment="1">
      <alignment horizontal="center" vertical="center"/>
    </xf>
    <xf numFmtId="3" fontId="1" fillId="5" borderId="1" xfId="0" applyNumberFormat="1" applyFont="1" applyFill="1" applyBorder="1" applyAlignment="1">
      <alignment horizontal="center"/>
    </xf>
    <xf numFmtId="1" fontId="1" fillId="3" borderId="1" xfId="0" applyNumberFormat="1" applyFont="1" applyFill="1" applyBorder="1" applyAlignment="1">
      <alignment horizontal="center"/>
    </xf>
    <xf numFmtId="0" fontId="1" fillId="3" borderId="1" xfId="0" applyFont="1" applyFill="1" applyBorder="1" applyAlignment="1">
      <alignment horizontal="center"/>
    </xf>
    <xf numFmtId="3" fontId="1" fillId="3" borderId="1" xfId="0" applyNumberFormat="1" applyFont="1" applyFill="1" applyBorder="1" applyAlignment="1">
      <alignment horizontal="center"/>
    </xf>
    <xf numFmtId="0" fontId="1" fillId="0" borderId="0" xfId="0" applyFont="1"/>
    <xf numFmtId="3" fontId="1" fillId="3" borderId="7" xfId="0" applyNumberFormat="1" applyFont="1" applyFill="1" applyBorder="1" applyAlignment="1">
      <alignment horizontal="center"/>
    </xf>
    <xf numFmtId="1" fontId="1" fillId="3" borderId="7" xfId="0" applyNumberFormat="1" applyFont="1" applyFill="1" applyBorder="1" applyAlignment="1">
      <alignment horizontal="center"/>
    </xf>
    <xf numFmtId="0" fontId="1" fillId="3" borderId="7" xfId="0" applyFont="1" applyFill="1" applyBorder="1" applyAlignment="1">
      <alignment horizontal="center"/>
    </xf>
    <xf numFmtId="0" fontId="1" fillId="6" borderId="34" xfId="0" applyFont="1" applyFill="1" applyBorder="1" applyAlignment="1">
      <alignment vertical="center" wrapText="1"/>
    </xf>
    <xf numFmtId="167" fontId="6" fillId="11" borderId="1" xfId="0" applyNumberFormat="1" applyFont="1" applyFill="1" applyBorder="1" applyAlignment="1">
      <alignment horizontal="center" vertical="center" wrapText="1"/>
    </xf>
    <xf numFmtId="167" fontId="6" fillId="11" borderId="1" xfId="0" applyNumberFormat="1" applyFont="1" applyFill="1" applyBorder="1" applyAlignment="1">
      <alignment horizontal="center" vertical="center" wrapText="1"/>
    </xf>
    <xf numFmtId="167" fontId="6" fillId="9" borderId="1" xfId="0" applyNumberFormat="1" applyFont="1" applyFill="1" applyBorder="1" applyAlignment="1">
      <alignment horizontal="center" vertical="center" wrapText="1"/>
    </xf>
    <xf numFmtId="167" fontId="6" fillId="9" borderId="1" xfId="0" applyNumberFormat="1" applyFont="1" applyFill="1" applyBorder="1" applyAlignment="1">
      <alignment horizontal="center" vertical="center" wrapText="1"/>
    </xf>
    <xf numFmtId="9" fontId="11" fillId="15" borderId="2" xfId="0" applyNumberFormat="1" applyFont="1" applyFill="1" applyBorder="1" applyAlignment="1">
      <alignment vertical="center"/>
    </xf>
    <xf numFmtId="9" fontId="11" fillId="15" borderId="17" xfId="0" applyNumberFormat="1" applyFont="1" applyFill="1" applyBorder="1" applyAlignment="1">
      <alignment vertical="center"/>
    </xf>
  </cellXfs>
  <cellStyles count="133">
    <cellStyle name="Millares" xfId="4" builtinId="3"/>
    <cellStyle name="Millares [0]" xfId="5" builtinId="6"/>
    <cellStyle name="Millares [0] 2" xfId="20" xr:uid="{6596F289-B409-401D-A2CD-912812AD5A41}"/>
    <cellStyle name="Millares [0] 2 2" xfId="50" xr:uid="{34DD14FC-AFCC-4CD0-A385-52F9FD6E1DFE}"/>
    <cellStyle name="Millares [0] 2 2 2" xfId="116" xr:uid="{DF9FFBF0-2003-4E4A-8163-A9F05601F548}"/>
    <cellStyle name="Millares [0] 2 3" xfId="86" xr:uid="{8D7C1FA4-3DB1-42E2-8C1F-8EF2053EA4BE}"/>
    <cellStyle name="Millares [0] 3" xfId="35" xr:uid="{D0C065CE-9AD5-41F5-937D-1AF8B0A1DBA2}"/>
    <cellStyle name="Millares [0] 3 2" xfId="101" xr:uid="{6FF2AF34-E4DD-48DD-A769-1F43B28DA11A}"/>
    <cellStyle name="Millares [0] 4" xfId="71" xr:uid="{C58B7B57-1BCB-4B61-A4DA-BE2D1125776B}"/>
    <cellStyle name="Millares 10" xfId="62" xr:uid="{18E9ADD3-48F8-4AB9-9B46-5E1351CE4AFB}"/>
    <cellStyle name="Millares 10 2" xfId="128" xr:uid="{7F5ECF51-6195-4FEB-8CAE-C2E78932F7A2}"/>
    <cellStyle name="Millares 11" xfId="63" xr:uid="{53A8874B-F178-4B74-8592-56F240FEA88A}"/>
    <cellStyle name="Millares 11 2" xfId="129" xr:uid="{50F36A3B-EE91-4D9D-8C27-217942432B3E}"/>
    <cellStyle name="Millares 12" xfId="70" xr:uid="{5F751CDA-3391-48CD-AA6C-9ED072E19DBA}"/>
    <cellStyle name="Millares 2" xfId="9" xr:uid="{843D228D-F50B-44D3-8F64-820E0054FADC}"/>
    <cellStyle name="Millares 2 2" xfId="26" xr:uid="{EE2FB685-89FA-408F-98F6-A10B420872EE}"/>
    <cellStyle name="Millares 2 2 2" xfId="56" xr:uid="{278DD9D7-0A7C-4BBF-92FB-493ED65BF6BB}"/>
    <cellStyle name="Millares 2 2 2 2" xfId="122" xr:uid="{084C617A-FB88-4175-ACFD-1641415E733D}"/>
    <cellStyle name="Millares 2 2 3" xfId="92" xr:uid="{A2C91A80-7E96-49FD-A797-46C6956ED5D3}"/>
    <cellStyle name="Millares 2 3" xfId="19" xr:uid="{11C45EC2-13E0-45A7-81E2-F33E06876BB2}"/>
    <cellStyle name="Millares 2 3 2" xfId="49" xr:uid="{41B058BD-19A8-44C4-9BF9-5C55C435E696}"/>
    <cellStyle name="Millares 2 3 2 2" xfId="115" xr:uid="{755DBFD5-1A71-4367-A633-C7101BEB0422}"/>
    <cellStyle name="Millares 2 3 3" xfId="85" xr:uid="{95D30A15-7217-4F10-AD9D-69EF6F97F186}"/>
    <cellStyle name="Millares 2 4" xfId="39" xr:uid="{39CA8D47-377B-41C9-A70C-AA2DBED99DA4}"/>
    <cellStyle name="Millares 2 4 2" xfId="105" xr:uid="{0A9526D2-B6A3-4BCF-BBD7-0D9715FF55E6}"/>
    <cellStyle name="Millares 2 5" xfId="75" xr:uid="{01EB7C7C-DE30-4A41-B37C-7443A907AB8D}"/>
    <cellStyle name="Millares 3" xfId="21" xr:uid="{14D896EB-4E9A-43A1-B3CC-4FE2D3662FDE}"/>
    <cellStyle name="Millares 3 2" xfId="51" xr:uid="{5358140B-0F02-4091-9AFB-40820AA5BC82}"/>
    <cellStyle name="Millares 3 2 2" xfId="117" xr:uid="{BCC313F9-F72D-4551-ABD3-2323192E432E}"/>
    <cellStyle name="Millares 3 3" xfId="87" xr:uid="{0345B6C7-C8A2-453F-90B9-D77B0A524A2B}"/>
    <cellStyle name="Millares 4" xfId="23" xr:uid="{209B50C4-CBCF-41C3-86E2-017CCD78013B}"/>
    <cellStyle name="Millares 4 2" xfId="53" xr:uid="{E86F7D9F-F811-4BF5-85B6-21CE370BE976}"/>
    <cellStyle name="Millares 4 2 2" xfId="119" xr:uid="{93109A2E-3E3B-474F-9590-797B3ED2DBB5}"/>
    <cellStyle name="Millares 4 3" xfId="89" xr:uid="{C3A0C6CF-0957-43BC-A8B7-7E013565FDCE}"/>
    <cellStyle name="Millares 5" xfId="22" xr:uid="{B366FFD7-FA7F-400C-A697-F208908B1766}"/>
    <cellStyle name="Millares 5 2" xfId="52" xr:uid="{5A296129-736D-4303-8700-A19D9DCBC59D}"/>
    <cellStyle name="Millares 5 2 2" xfId="118" xr:uid="{EA1D42A2-1019-46FA-8477-3A0D25144624}"/>
    <cellStyle name="Millares 5 3" xfId="88" xr:uid="{4D414AB0-53D0-4081-B1E1-26F0DD0076C6}"/>
    <cellStyle name="Millares 6" xfId="12" xr:uid="{1323DB61-9DBD-481A-B1D5-4E6302058B91}"/>
    <cellStyle name="Millares 6 2" xfId="42" xr:uid="{7DE139EA-3408-4B22-85F8-6903C58BAD57}"/>
    <cellStyle name="Millares 6 2 2" xfId="108" xr:uid="{DA4CC524-9738-4162-9731-B5D8C7F354A7}"/>
    <cellStyle name="Millares 6 3" xfId="78" xr:uid="{35F48C10-4069-440F-959F-769120E9DC57}"/>
    <cellStyle name="Millares 7" xfId="28" xr:uid="{2A7F6B58-A723-46CB-9302-C54581F29551}"/>
    <cellStyle name="Millares 7 2" xfId="58" xr:uid="{CE1CC455-0429-4D06-8F7F-3834DC32C3E9}"/>
    <cellStyle name="Millares 7 2 2" xfId="124" xr:uid="{2E1A6C4E-09F1-49CF-A239-E119BEDBE295}"/>
    <cellStyle name="Millares 7 3" xfId="94" xr:uid="{3FE0407B-6628-4ACD-B2FC-BC0F9F4A66B6}"/>
    <cellStyle name="Millares 8" xfId="34" xr:uid="{7E170B15-9952-45F5-A7F4-EE99665A6826}"/>
    <cellStyle name="Millares 8 2" xfId="100" xr:uid="{A3DF7563-D3C0-4D68-94F5-35C2C1329D57}"/>
    <cellStyle name="Millares 9" xfId="61" xr:uid="{0BB3340D-846C-40F8-A11F-C585B380F4E0}"/>
    <cellStyle name="Millares 9 2" xfId="127" xr:uid="{95E57AA3-E3F1-4004-AE77-1B037E6F41AC}"/>
    <cellStyle name="Moneda" xfId="30" builtinId="4"/>
    <cellStyle name="Moneda [0]" xfId="1" builtinId="7"/>
    <cellStyle name="Moneda [0] 2" xfId="3" xr:uid="{0390D6FF-76F3-437F-BEAC-93638487FEBA}"/>
    <cellStyle name="Moneda [0] 2 2" xfId="18" xr:uid="{B70FC726-C22D-4917-8E88-1D6611373B72}"/>
    <cellStyle name="Moneda [0] 2 2 2" xfId="48" xr:uid="{111A90F6-1EF1-467B-8BC5-432291C535B5}"/>
    <cellStyle name="Moneda [0] 2 2 2 2" xfId="114" xr:uid="{C2CD5AD4-1C4C-4969-92CA-24ED122DAB64}"/>
    <cellStyle name="Moneda [0] 2 2 3" xfId="84" xr:uid="{D493B52F-3A47-4ED9-9860-07AD31E5C492}"/>
    <cellStyle name="Moneda [0] 2 3" xfId="33" xr:uid="{D0C2E203-255E-4215-99DA-9BA4BB6109D4}"/>
    <cellStyle name="Moneda [0] 2 3 2" xfId="99" xr:uid="{9EE4A370-9F7C-4069-97DB-4DFEA25D0821}"/>
    <cellStyle name="Moneda [0] 2 4" xfId="69" xr:uid="{7706C8DA-3663-42ED-B564-8A9934A583F3}"/>
    <cellStyle name="Moneda [0] 3" xfId="10" xr:uid="{176B30D5-D926-4F06-9666-7F368BCC922E}"/>
    <cellStyle name="Moneda [0] 3 2" xfId="40" xr:uid="{1FAD5E1E-9329-41D2-B7BC-8ED02B4E3687}"/>
    <cellStyle name="Moneda [0] 3 2 2" xfId="106" xr:uid="{1F203B87-BD49-4792-A573-DC5E34B5AE5D}"/>
    <cellStyle name="Moneda [0] 3 3" xfId="76" xr:uid="{B64BEF63-3180-40F0-80F8-CA79CE1C56B9}"/>
    <cellStyle name="Moneda [0] 4" xfId="31" xr:uid="{D48C30A9-AD5D-442F-A70C-2845DE34491B}"/>
    <cellStyle name="Moneda [0] 4 2" xfId="97" xr:uid="{9B7699A4-D90D-4D91-B6D0-1C3B96B1422F}"/>
    <cellStyle name="Moneda [0] 5" xfId="67" xr:uid="{0F207044-ED83-4511-81A5-C0BCF604A24A}"/>
    <cellStyle name="Moneda 10" xfId="64" xr:uid="{5658390C-6DBA-4B60-AA02-57D686FB3B6C}"/>
    <cellStyle name="Moneda 10 2" xfId="130" xr:uid="{C23EA572-C2AC-4F78-9A40-67490B2D71F8}"/>
    <cellStyle name="Moneda 11" xfId="65" xr:uid="{07142517-055C-4F59-B93C-A704E23DDDFB}"/>
    <cellStyle name="Moneda 11 2" xfId="131" xr:uid="{2380CFE4-DC0F-4E27-A4A4-B48B307A0363}"/>
    <cellStyle name="Moneda 12" xfId="66" xr:uid="{ACD17410-1E6C-4D93-9097-847AEE801026}"/>
    <cellStyle name="Moneda 12 2" xfId="132" xr:uid="{ED4BB4B7-FA6B-4AAF-A5F5-ED5FFE100FBC}"/>
    <cellStyle name="Moneda 13" xfId="96" xr:uid="{684CDAA0-A016-4E3F-AEB1-B99600C71988}"/>
    <cellStyle name="Moneda 2" xfId="8" xr:uid="{6804FCB6-AA62-4A3D-9D88-A42ADD88DBC8}"/>
    <cellStyle name="Moneda 2 2" xfId="38" xr:uid="{F8D0D428-50D0-4534-8517-C83553139B89}"/>
    <cellStyle name="Moneda 2 2 2" xfId="104" xr:uid="{C2A99E62-17DF-423E-8405-9342A223C0CE}"/>
    <cellStyle name="Moneda 2 3" xfId="74" xr:uid="{0B3F5145-F01E-4822-AF0B-5F52D1A1A827}"/>
    <cellStyle name="Moneda 3" xfId="11" xr:uid="{B35CB803-EB07-4186-840B-80EEAB94F8A9}"/>
    <cellStyle name="Moneda 3 2" xfId="41" xr:uid="{CE936E6F-55FE-4D1B-996F-190A6DF31F1D}"/>
    <cellStyle name="Moneda 3 2 2" xfId="107" xr:uid="{6F9AD6B6-02C8-46FC-8D1D-008A5DA250A0}"/>
    <cellStyle name="Moneda 3 3" xfId="77" xr:uid="{F0CBE476-F12D-44AC-BB39-8DCCD6E810F7}"/>
    <cellStyle name="Moneda 4" xfId="13" xr:uid="{39DAACB4-50D1-43DF-BE83-A6ABB0924D8A}"/>
    <cellStyle name="Moneda 4 2" xfId="43" xr:uid="{722A9CF2-3325-472A-B070-319EDFBD4BBE}"/>
    <cellStyle name="Moneda 4 2 2" xfId="109" xr:uid="{467A46A0-020A-445E-8842-8AC6662B2B7A}"/>
    <cellStyle name="Moneda 4 3" xfId="79" xr:uid="{BC03E287-187D-45F9-A1B4-4E0CA49E9909}"/>
    <cellStyle name="Moneda 5" xfId="14" xr:uid="{2664B6BD-9A60-498B-B7C0-B180778F732E}"/>
    <cellStyle name="Moneda 5 2" xfId="44" xr:uid="{83CC38A0-3FC9-4879-B2FB-57C416A0FA28}"/>
    <cellStyle name="Moneda 5 2 2" xfId="110" xr:uid="{406B1A49-B838-4803-A61F-9AD7B7CC77C3}"/>
    <cellStyle name="Moneda 5 3" xfId="80" xr:uid="{DB929A7B-C6BB-4AC6-84AF-CCD285DE4695}"/>
    <cellStyle name="Moneda 6" xfId="15" xr:uid="{058F2248-AD5A-41A2-AE29-B4E259230BAE}"/>
    <cellStyle name="Moneda 6 2" xfId="45" xr:uid="{220A0F49-2517-4729-9BDE-916302F73834}"/>
    <cellStyle name="Moneda 6 2 2" xfId="111" xr:uid="{109093E4-801B-4DD7-9D8A-5CFCB03C1CF5}"/>
    <cellStyle name="Moneda 6 3" xfId="81" xr:uid="{D6716532-7017-47C9-AD24-7811E678E58D}"/>
    <cellStyle name="Moneda 7" xfId="27" xr:uid="{C21D790C-7F00-42B9-B369-84997BB05D08}"/>
    <cellStyle name="Moneda 7 2" xfId="57" xr:uid="{AAF6A999-9797-4F31-8EB3-0F33BE361BF1}"/>
    <cellStyle name="Moneda 7 2 2" xfId="123" xr:uid="{5C4E0655-C2FE-44FA-BAA3-D8BBF9BE551B}"/>
    <cellStyle name="Moneda 7 3" xfId="93" xr:uid="{A014877B-D20D-47F6-80B5-E707CCA05EC6}"/>
    <cellStyle name="Moneda 8" xfId="29" xr:uid="{FE7D94F4-7794-407E-8DB5-4728702C98CF}"/>
    <cellStyle name="Moneda 8 2" xfId="59" xr:uid="{D34ADF68-DF0D-4527-B764-94F9754B6725}"/>
    <cellStyle name="Moneda 8 2 2" xfId="125" xr:uid="{8D37976D-8FEA-4C95-BA3D-4131BF3B11D9}"/>
    <cellStyle name="Moneda 8 3" xfId="95" xr:uid="{8753387E-0E5E-42AF-9BDD-87F526B29D1D}"/>
    <cellStyle name="Moneda 9" xfId="60" xr:uid="{0C6EDD73-878E-436B-8E0F-281FE65172D8}"/>
    <cellStyle name="Moneda 9 2" xfId="126" xr:uid="{5F174AF4-5751-4508-A98F-29DF2BF538B0}"/>
    <cellStyle name="Normal" xfId="0" builtinId="0"/>
    <cellStyle name="Normal 2" xfId="6" xr:uid="{CB6F941A-88CE-424E-B4EF-FB88FD8203E8}"/>
    <cellStyle name="Normal 2 2" xfId="24" xr:uid="{88ECBD35-BD01-4935-AA17-FCC0946A924E}"/>
    <cellStyle name="Normal 2 2 2" xfId="54" xr:uid="{986D6CB7-11FD-46E9-BF29-ED857FADF9A7}"/>
    <cellStyle name="Normal 2 2 2 2" xfId="120" xr:uid="{80BA424C-4415-4E98-AF1A-DB523DCBFE8A}"/>
    <cellStyle name="Normal 2 2 3" xfId="90" xr:uid="{7EB90BAD-D6D7-4DCE-9ED6-67E3441F90C4}"/>
    <cellStyle name="Normal 2 3" xfId="16" xr:uid="{50A47016-B810-4032-8320-2735FFD572CF}"/>
    <cellStyle name="Normal 2 3 2" xfId="46" xr:uid="{BB9BD357-C2B0-439B-A91C-B658F2570369}"/>
    <cellStyle name="Normal 2 3 2 2" xfId="112" xr:uid="{0BFB27DD-DCC2-4712-B565-27CDDEA06BF8}"/>
    <cellStyle name="Normal 2 3 3" xfId="82" xr:uid="{461FABE0-D857-4A6D-AB07-37EC895A0CE9}"/>
    <cellStyle name="Normal 2 4" xfId="36" xr:uid="{4F644A9C-103A-4E9D-9101-34E6E90FAE3E}"/>
    <cellStyle name="Normal 2 4 2" xfId="102" xr:uid="{7D374971-51E2-421F-A978-62C40E92C663}"/>
    <cellStyle name="Normal 2 5" xfId="72" xr:uid="{8B65FA50-1661-432E-B4D8-F1C4EB86C5B8}"/>
    <cellStyle name="Porcentaje" xfId="2" builtinId="5"/>
    <cellStyle name="Porcentaje 2" xfId="7" xr:uid="{2C24F177-6050-4395-977A-23B25FFAF6A0}"/>
    <cellStyle name="Porcentaje 2 2" xfId="25" xr:uid="{7D25823E-4425-48E5-A581-8A77428CA6A8}"/>
    <cellStyle name="Porcentaje 2 2 2" xfId="55" xr:uid="{F44F5C22-DB80-42A3-8D05-5FF907ACF75E}"/>
    <cellStyle name="Porcentaje 2 2 2 2" xfId="121" xr:uid="{1FCF5B11-D326-4628-A884-DF47B213AA2C}"/>
    <cellStyle name="Porcentaje 2 2 3" xfId="91" xr:uid="{69A6A7D2-4262-49A2-B2D4-ECBE6F771DB6}"/>
    <cellStyle name="Porcentaje 2 3" xfId="17" xr:uid="{31BB02AE-47D2-48DF-BC1B-78A752D4A45D}"/>
    <cellStyle name="Porcentaje 2 3 2" xfId="47" xr:uid="{E0152C94-A164-42C6-8376-6EF1F4F2AFEA}"/>
    <cellStyle name="Porcentaje 2 3 2 2" xfId="113" xr:uid="{6345FFD3-1928-4822-A1F3-B4C57345A304}"/>
    <cellStyle name="Porcentaje 2 3 3" xfId="83" xr:uid="{7E1BB27B-8BB1-4DBA-B3C2-A919F3B8EA9E}"/>
    <cellStyle name="Porcentaje 2 4" xfId="37" xr:uid="{B5575313-40B7-4D78-966C-0250DDF556FE}"/>
    <cellStyle name="Porcentaje 2 4 2" xfId="103" xr:uid="{1FDC7D8D-A555-48AF-8D6A-22E1AF2E87BD}"/>
    <cellStyle name="Porcentaje 2 5" xfId="73" xr:uid="{06AD208B-5D4E-4522-B47C-A9C2BB14512A}"/>
    <cellStyle name="Porcentaje 3" xfId="32" xr:uid="{9D687D71-1D46-434F-9895-E21836502470}"/>
    <cellStyle name="Porcentaje 3 2" xfId="98" xr:uid="{19EEC3A3-9D1A-49CC-8C13-16FFA43ACE6D}"/>
    <cellStyle name="Porcentaje 4" xfId="68" xr:uid="{B62642D7-A8E2-405D-AFBD-114A5D6462F8}"/>
  </cellStyles>
  <dxfs count="0"/>
  <tableStyles count="0" defaultTableStyle="TableStyleMedium2" defaultPivotStyle="PivotStyleLight16"/>
  <colors>
    <mruColors>
      <color rgb="FFFF9900"/>
      <color rgb="FFFF7C80"/>
      <color rgb="FFFCD5B4"/>
      <color rgb="FFFAD6BE"/>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A2E-4144-99CD-D033BEB4AD7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A2E-4144-99CD-D033BEB4AD7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POAI'!$Y$65,'[2]TRIMETRES POAI'!$AG$65)</c:f>
              <c:strCache>
                <c:ptCount val="2"/>
                <c:pt idx="0">
                  <c:v>% CUMPLIMIENTO TERCER TRIMESTRE</c:v>
                </c:pt>
                <c:pt idx="1">
                  <c:v>TOTAL CUMPLIMIENTO DE ACTIVIDADES -AÑO</c:v>
                </c:pt>
              </c:strCache>
            </c:strRef>
          </c:cat>
          <c:val>
            <c:numRef>
              <c:f>('[2]TRIMETRES POAI'!$Y$66,'[2]TRIMETRES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DA2E-4144-99CD-D033BEB4AD7D}"/>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841-401F-8836-9849C99B61A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841-401F-8836-9849C99B61A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841-401F-8836-9849C99B61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POAI'!$V$65:$X$65</c:f>
              <c:strCache>
                <c:ptCount val="3"/>
                <c:pt idx="0">
                  <c:v>ACTIVIDADES PROGRAMADAS AÑO</c:v>
                </c:pt>
                <c:pt idx="1">
                  <c:v>ACTIVIDADES PROGRAMADAS  TERCER TRIMESTRE</c:v>
                </c:pt>
                <c:pt idx="2">
                  <c:v>ACTIVIDADES EJECUTADAS TERCER TRIMESTRE</c:v>
                </c:pt>
              </c:strCache>
            </c:strRef>
          </c:cat>
          <c:val>
            <c:numRef>
              <c:f>'[2]TRIMETRES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E841-401F-8836-9849C99B61A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15A-4B1D-B905-54975947E30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15A-4B1D-B905-54975947E30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15A-4B1D-B905-54975947E30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POAI'!$V$65,'[2]TRIMETRES POAI'!$Z$65:$AA$65)</c:f>
              <c:strCache>
                <c:ptCount val="3"/>
                <c:pt idx="0">
                  <c:v>ACTIVIDADES PROGRAMADAS AÑO</c:v>
                </c:pt>
                <c:pt idx="1">
                  <c:v>TOTAL ACTIVIDADES PROGRAMADAS AL TRIMESTRES</c:v>
                </c:pt>
                <c:pt idx="2">
                  <c:v>TOTAL EJECUTADAS  AL TERCER TRIMESTRE</c:v>
                </c:pt>
              </c:strCache>
            </c:strRef>
          </c:cat>
          <c:val>
            <c:numRef>
              <c:f>('[2]TRIMETRES POAI'!$V$66,'[2]TRIMETRES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015A-4B1D-B905-54975947E308}"/>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7D8-45A7-89B4-52DCF5E33D8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7D8-45A7-89B4-52DCF5E33D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POAI'!$Y$65,'[2]TRIMETRES POAI'!$AG$65)</c:f>
              <c:strCache>
                <c:ptCount val="2"/>
                <c:pt idx="0">
                  <c:v>% CUMPLIMIENTO TERCER TRIMESTRE</c:v>
                </c:pt>
                <c:pt idx="1">
                  <c:v>TOTAL CUMPLIMIENTO DE ACTIVIDADES -AÑO</c:v>
                </c:pt>
              </c:strCache>
            </c:strRef>
          </c:cat>
          <c:val>
            <c:numRef>
              <c:f>('[2]TRIMETRES POAI'!$Y$66,'[2]TRIMETRES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97D8-45A7-89B4-52DCF5E33D87}"/>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40D-44B8-B057-D80774C6344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40D-44B8-B057-D80774C6344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40D-44B8-B057-D80774C634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POAI'!$V$65:$X$65</c:f>
              <c:strCache>
                <c:ptCount val="3"/>
                <c:pt idx="0">
                  <c:v>ACTIVIDADES PROGRAMADAS AÑO</c:v>
                </c:pt>
                <c:pt idx="1">
                  <c:v>ACTIVIDADES PROGRAMADAS  TERCER TRIMESTRE</c:v>
                </c:pt>
                <c:pt idx="2">
                  <c:v>ACTIVIDADES EJECUTADAS TERCER TRIMESTRE</c:v>
                </c:pt>
              </c:strCache>
            </c:strRef>
          </c:cat>
          <c:val>
            <c:numRef>
              <c:f>'[2]TRIMETRES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E40D-44B8-B057-D80774C6344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E15-4479-A096-79731045CC8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E15-4479-A096-79731045CC8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E15-4479-A096-79731045CC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POAI'!$V$65,'[2]TRIMETRES POAI'!$Z$65:$AA$65)</c:f>
              <c:strCache>
                <c:ptCount val="3"/>
                <c:pt idx="0">
                  <c:v>ACTIVIDADES PROGRAMADAS AÑO</c:v>
                </c:pt>
                <c:pt idx="1">
                  <c:v>TOTAL ACTIVIDADES PROGRAMADAS AL TRIMESTRES</c:v>
                </c:pt>
                <c:pt idx="2">
                  <c:v>TOTAL EJECUTADAS  AL TERCER TRIMESTRE</c:v>
                </c:pt>
              </c:strCache>
            </c:strRef>
          </c:cat>
          <c:val>
            <c:numRef>
              <c:f>('[2]TRIMETRES POAI'!$V$66,'[2]TRIMETRES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EE15-4479-A096-79731045CC8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649-4102-B2B0-DC902BC7A18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649-4102-B2B0-DC902BC7A18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POAI'!$Y$65,'[2]TRIMETRES POAI'!$AG$65)</c:f>
              <c:strCache>
                <c:ptCount val="2"/>
                <c:pt idx="0">
                  <c:v>% CUMPLIMIENTO TERCER TRIMESTRE</c:v>
                </c:pt>
                <c:pt idx="1">
                  <c:v>TOTAL CUMPLIMIENTO DE ACTIVIDADES -AÑO</c:v>
                </c:pt>
              </c:strCache>
            </c:strRef>
          </c:cat>
          <c:val>
            <c:numRef>
              <c:f>('[2]TRIMETRES POAI'!$Y$66,'[2]TRIMETRES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6649-4102-B2B0-DC902BC7A185}"/>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A7D-4727-9F8B-69DB6C49373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A7D-4727-9F8B-69DB6C49373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A7D-4727-9F8B-69DB6C4937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POAI'!$V$65:$X$65</c:f>
              <c:strCache>
                <c:ptCount val="3"/>
                <c:pt idx="0">
                  <c:v>ACTIVIDADES PROGRAMADAS AÑO</c:v>
                </c:pt>
                <c:pt idx="1">
                  <c:v>ACTIVIDADES PROGRAMADAS  TERCER TRIMESTRE</c:v>
                </c:pt>
                <c:pt idx="2">
                  <c:v>ACTIVIDADES EJECUTADAS TERCER TRIMESTRE</c:v>
                </c:pt>
              </c:strCache>
            </c:strRef>
          </c:cat>
          <c:val>
            <c:numRef>
              <c:f>'[2]TRIMETRES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DA7D-4727-9F8B-69DB6C49373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81F-4B1A-9AD5-19A88141554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81F-4B1A-9AD5-19A88141554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81F-4B1A-9AD5-19A881415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POAI'!$V$65,'[2]TRIMETRES POAI'!$Z$65:$AA$65)</c:f>
              <c:strCache>
                <c:ptCount val="3"/>
                <c:pt idx="0">
                  <c:v>ACTIVIDADES PROGRAMADAS AÑO</c:v>
                </c:pt>
                <c:pt idx="1">
                  <c:v>TOTAL ACTIVIDADES PROGRAMADAS AL TRIMESTRES</c:v>
                </c:pt>
                <c:pt idx="2">
                  <c:v>TOTAL EJECUTADAS  AL TERCER TRIMESTRE</c:v>
                </c:pt>
              </c:strCache>
            </c:strRef>
          </c:cat>
          <c:val>
            <c:numRef>
              <c:f>('[2]TRIMETRES POAI'!$V$66,'[2]TRIMETRES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981F-4B1A-9AD5-19A88141554E}"/>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34C-4850-A677-E8A958BA4F7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34C-4850-A677-E8A958BA4F7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POAI'!$Y$65,'[2]TRIMETRES POAI'!$AG$65)</c:f>
              <c:strCache>
                <c:ptCount val="2"/>
                <c:pt idx="0">
                  <c:v>% CUMPLIMIENTO TERCER TRIMESTRE</c:v>
                </c:pt>
                <c:pt idx="1">
                  <c:v>TOTAL CUMPLIMIENTO DE ACTIVIDADES -AÑO</c:v>
                </c:pt>
              </c:strCache>
            </c:strRef>
          </c:cat>
          <c:val>
            <c:numRef>
              <c:f>('[2]TRIMETRES POAI'!$Y$66,'[2]TRIMETRES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134C-4850-A677-E8A958BA4F7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00B-459C-A707-66B27472AC4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00B-459C-A707-66B27472AC4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00B-459C-A707-66B27472AC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POAI'!$V$65:$X$65</c:f>
              <c:strCache>
                <c:ptCount val="3"/>
                <c:pt idx="0">
                  <c:v>ACTIVIDADES PROGRAMADAS AÑO</c:v>
                </c:pt>
                <c:pt idx="1">
                  <c:v>ACTIVIDADES PROGRAMADAS  TERCER TRIMESTRE</c:v>
                </c:pt>
                <c:pt idx="2">
                  <c:v>ACTIVIDADES EJECUTADAS TERCER TRIMESTRE</c:v>
                </c:pt>
              </c:strCache>
            </c:strRef>
          </c:cat>
          <c:val>
            <c:numRef>
              <c:f>'[2]TRIMETRES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800B-459C-A707-66B27472AC4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80-402C-81A9-5A7F0913A2F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80-402C-81A9-5A7F0913A2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80-402C-81A9-5A7F0913A2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POAI'!$V$65,'[2]TRIMETRES POAI'!$Z$65:$AA$65)</c:f>
              <c:strCache>
                <c:ptCount val="3"/>
                <c:pt idx="0">
                  <c:v>ACTIVIDADES PROGRAMADAS AÑO</c:v>
                </c:pt>
                <c:pt idx="1">
                  <c:v>TOTAL ACTIVIDADES PROGRAMADAS AL TRIMESTRES</c:v>
                </c:pt>
                <c:pt idx="2">
                  <c:v>TOTAL EJECUTADAS  AL TERCER TRIMESTRE</c:v>
                </c:pt>
              </c:strCache>
            </c:strRef>
          </c:cat>
          <c:val>
            <c:numRef>
              <c:f>('[2]TRIMETRES POAI'!$V$66,'[2]TRIMETRES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A880-402C-81A9-5A7F0913A2F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CUMPLIMIETO  PRIMER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AAE-4FC6-A41B-D3216585E78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AAE-4FC6-A41B-D3216585E78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AAE-4FC6-A41B-D3216585E78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AAE-4FC6-A41B-D3216585E78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graficas!$B$18:$D$18</c:f>
              <c:strCache>
                <c:ptCount val="3"/>
                <c:pt idx="0">
                  <c:v>ACTIVIDADES PROGRAMADAS  PRIEMER TRIMESTRE</c:v>
                </c:pt>
                <c:pt idx="1">
                  <c:v>ACTIVIDADES EJECUTADAS PRIMER   TRIMESTRE</c:v>
                </c:pt>
                <c:pt idx="2">
                  <c:v>% CUMPLIMIENTO PRIMER  TRIMESTRE</c:v>
                </c:pt>
              </c:strCache>
            </c:strRef>
          </c:cat>
          <c:val>
            <c:numRef>
              <c:f>graficas!$B$19:$D$19</c:f>
              <c:numCache>
                <c:formatCode>#,##0</c:formatCode>
                <c:ptCount val="3"/>
              </c:numCache>
            </c:numRef>
          </c:val>
          <c:extLst>
            <c:ext xmlns:c16="http://schemas.microsoft.com/office/drawing/2014/chart" uri="{C3380CC4-5D6E-409C-BE32-E72D297353CC}">
              <c16:uniqueId val="{00000000-712F-4605-9FB5-57B48C91B7A8}"/>
            </c:ext>
          </c:extLst>
        </c:ser>
        <c:dLbls>
          <c:dLblPos val="ctr"/>
          <c:showLegendKey val="0"/>
          <c:showVal val="1"/>
          <c:showCatName val="0"/>
          <c:showSerName val="0"/>
          <c:showPercent val="0"/>
          <c:showBubbleSize val="0"/>
          <c:showLeaderLines val="1"/>
        </c:dLbls>
        <c:gapWidth val="15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CUMPLIMIETO  PRIMER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1"/>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454-4BFC-9940-24FD68A6DF0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454-4BFC-9940-24FD68A6DF0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454-4BFC-9940-24FD68A6DF0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EDC8-4483-9F93-36B44BC7AAAE}"/>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(graficas!$A$18,graficas!$C$18,graficas!$E$18)</c:f>
              <c:strCache>
                <c:ptCount val="3"/>
                <c:pt idx="0">
                  <c:v>ACTIVIDADES PROGRAMADAS AÑO</c:v>
                </c:pt>
                <c:pt idx="1">
                  <c:v>ACTIVIDADES EJECUTADAS PRIMER   TRIMESTRE</c:v>
                </c:pt>
                <c:pt idx="2">
                  <c:v>% CUMPLIMIENTO PROGRAMADAS AÑO</c:v>
                </c:pt>
              </c:strCache>
            </c:strRef>
          </c:cat>
          <c:val>
            <c:numRef>
              <c:f>(graficas!$A$19,graficas!$C$19,graficas!$E$19)</c:f>
              <c:numCache>
                <c:formatCode>#,##0</c:formatCode>
                <c:ptCount val="3"/>
              </c:numCache>
            </c:numRef>
          </c:val>
          <c:extLst>
            <c:ext xmlns:c16="http://schemas.microsoft.com/office/drawing/2014/chart" uri="{C3380CC4-5D6E-409C-BE32-E72D297353CC}">
              <c16:uniqueId val="{0000000B-EDC8-4483-9F93-36B44BC7AAAE}"/>
            </c:ext>
          </c:extLst>
        </c:ser>
        <c:ser>
          <c:idx val="0"/>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DC8-4483-9F93-36B44BC7AAA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DC8-4483-9F93-36B44BC7AAA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DC8-4483-9F93-36B44BC7AAA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EDC8-4483-9F93-36B44BC7AAA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graficas!$B$18:$D$18</c:f>
              <c:strCache>
                <c:ptCount val="3"/>
                <c:pt idx="0">
                  <c:v>ACTIVIDADES PROGRAMADAS  PRIEMER TRIMESTRE</c:v>
                </c:pt>
                <c:pt idx="1">
                  <c:v>ACTIVIDADES EJECUTADAS PRIMER   TRIMESTRE</c:v>
                </c:pt>
                <c:pt idx="2">
                  <c:v>% CUMPLIMIENTO PRIMER  TRIMESTRE</c:v>
                </c:pt>
              </c:strCache>
            </c:strRef>
          </c:cat>
          <c:val>
            <c:numRef>
              <c:f>graficas!$B$19:$D$19</c:f>
              <c:numCache>
                <c:formatCode>#,##0</c:formatCode>
                <c:ptCount val="3"/>
              </c:numCache>
            </c:numRef>
          </c:val>
          <c:extLst>
            <c:ext xmlns:c16="http://schemas.microsoft.com/office/drawing/2014/chart" uri="{C3380CC4-5D6E-409C-BE32-E72D297353CC}">
              <c16:uniqueId val="{0000000A-EDC8-4483-9F93-36B44BC7AAAE}"/>
            </c:ext>
          </c:extLst>
        </c:ser>
        <c:dLbls>
          <c:dLblPos val="ctr"/>
          <c:showLegendKey val="0"/>
          <c:showVal val="1"/>
          <c:showCatName val="0"/>
          <c:showSerName val="0"/>
          <c:showPercent val="0"/>
          <c:showBubbleSize val="0"/>
          <c:showLeaderLines val="1"/>
        </c:dLbls>
        <c:gapWidth val="15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CUMPLIMIENTO SEGUNDO TRIMESTRE 2023</a:t>
            </a:r>
          </a:p>
        </c:rich>
      </c:tx>
      <c:layout>
        <c:manualLayout>
          <c:xMode val="edge"/>
          <c:yMode val="edge"/>
          <c:x val="0.12467337419254002"/>
          <c:y val="1.633486210064397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9E3-4D4D-BFC5-AC87BDA55BE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59E3-4D4D-BFC5-AC87BDA55BE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59E3-4D4D-BFC5-AC87BDA55BE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9E3-4D4D-BFC5-AC87BDA55BE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9E3-4D4D-BFC5-AC87BDA55BED}"/>
              </c:ext>
            </c:extLst>
          </c:dPt>
          <c:dLbls>
            <c:dLbl>
              <c:idx val="0"/>
              <c:tx>
                <c:rich>
                  <a:bodyPr/>
                  <a:lstStyle/>
                  <a:p>
                    <a:r>
                      <a:rPr lang="en-US"/>
                      <a:t>710</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59E3-4D4D-BFC5-AC87BDA55BED}"/>
                </c:ext>
              </c:extLst>
            </c:dLbl>
            <c:dLbl>
              <c:idx val="1"/>
              <c:tx>
                <c:rich>
                  <a:bodyPr/>
                  <a:lstStyle/>
                  <a:p>
                    <a:r>
                      <a:rPr lang="en-US"/>
                      <a:t>689</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59E3-4D4D-BFC5-AC87BDA55BED}"/>
                </c:ext>
              </c:extLst>
            </c:dLbl>
            <c:dLbl>
              <c:idx val="2"/>
              <c:tx>
                <c:rich>
                  <a:bodyPr/>
                  <a:lstStyle/>
                  <a:p>
                    <a:r>
                      <a:rPr lang="en-US"/>
                      <a:t>97%</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59E3-4D4D-BFC5-AC87BDA55BED}"/>
                </c:ext>
              </c:extLst>
            </c:dLbl>
            <c:dLbl>
              <c:idx val="3"/>
              <c:tx>
                <c:rich>
                  <a:bodyPr/>
                  <a:lstStyle/>
                  <a:p>
                    <a:r>
                      <a:rPr lang="en-US"/>
                      <a:t>25</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59E3-4D4D-BFC5-AC87BDA55BED}"/>
                </c:ext>
              </c:extLst>
            </c:dLbl>
            <c:dLbl>
              <c:idx val="4"/>
              <c:delete val="1"/>
              <c:extLst>
                <c:ext xmlns:c15="http://schemas.microsoft.com/office/drawing/2012/chart" uri="{CE6537A1-D6FC-4f65-9D91-7224C49458BB}"/>
                <c:ext xmlns:c16="http://schemas.microsoft.com/office/drawing/2014/chart" uri="{C3380CC4-5D6E-409C-BE32-E72D297353CC}">
                  <c16:uniqueId val="{00000003-59E3-4D4D-BFC5-AC87BDA55BE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graficas!$F$18:$I$18</c:f>
              <c:strCache>
                <c:ptCount val="4"/>
                <c:pt idx="0">
                  <c:v>TOTAL ACTIVIDADES PROGRAMADAS SEGUNDO TRIMESTRE</c:v>
                </c:pt>
                <c:pt idx="1">
                  <c:v>TOTAL EJECUTADAS  AL SEGUNDO TRIMESTRE</c:v>
                </c:pt>
                <c:pt idx="2">
                  <c:v>% CUMPLIMIENTO SEGUNDO TRIMESTRE</c:v>
                </c:pt>
                <c:pt idx="3">
                  <c:v>% CUMPLIMIENTO PROGRAMADAS AÑO</c:v>
                </c:pt>
              </c:strCache>
            </c:strRef>
          </c:cat>
          <c:val>
            <c:numRef>
              <c:f>graficas!$F$19:$I$19</c:f>
              <c:numCache>
                <c:formatCode>#,##0</c:formatCode>
                <c:ptCount val="4"/>
              </c:numCache>
            </c:numRef>
          </c:val>
          <c:extLst>
            <c:ext xmlns:c16="http://schemas.microsoft.com/office/drawing/2014/chart" uri="{C3380CC4-5D6E-409C-BE32-E72D297353CC}">
              <c16:uniqueId val="{00000000-59E3-4D4D-BFC5-AC87BDA55BED}"/>
            </c:ext>
          </c:extLst>
        </c:ser>
        <c:dLbls>
          <c:dLblPos val="ctr"/>
          <c:showLegendKey val="0"/>
          <c:showVal val="0"/>
          <c:showCatName val="0"/>
          <c:showSerName val="0"/>
          <c:showPercent val="1"/>
          <c:showBubbleSize val="0"/>
          <c:showLeaderLines val="1"/>
        </c:dLbls>
        <c:gapWidth val="10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CUMPLIMIENTO TERCER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B623-4539-89BE-17FADF0DE93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623-4539-89BE-17FADF0DE93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B623-4539-89BE-17FADF0DE93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623-4539-89BE-17FADF0DE93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623-4539-89BE-17FADF0DE936}"/>
              </c:ext>
            </c:extLst>
          </c:dPt>
          <c:dLbls>
            <c:dLbl>
              <c:idx val="0"/>
              <c:tx>
                <c:rich>
                  <a:bodyPr/>
                  <a:lstStyle/>
                  <a:p>
                    <a:r>
                      <a:rPr lang="en-US"/>
                      <a:t>726</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B623-4539-89BE-17FADF0DE936}"/>
                </c:ext>
              </c:extLst>
            </c:dLbl>
            <c:dLbl>
              <c:idx val="1"/>
              <c:tx>
                <c:rich>
                  <a:bodyPr/>
                  <a:lstStyle/>
                  <a:p>
                    <a:r>
                      <a:rPr lang="en-US"/>
                      <a:t>689</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B623-4539-89BE-17FADF0DE936}"/>
                </c:ext>
              </c:extLst>
            </c:dLbl>
            <c:dLbl>
              <c:idx val="2"/>
              <c:tx>
                <c:rich>
                  <a:bodyPr/>
                  <a:lstStyle/>
                  <a:p>
                    <a:r>
                      <a:rPr lang="en-US"/>
                      <a:t>95%</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B623-4539-89BE-17FADF0DE936}"/>
                </c:ext>
              </c:extLst>
            </c:dLbl>
            <c:dLbl>
              <c:idx val="3"/>
              <c:layout>
                <c:manualLayout>
                  <c:x val="-6.6621172353455924E-2"/>
                  <c:y val="5.5520924467774777E-2"/>
                </c:manualLayout>
              </c:layout>
              <c:tx>
                <c:rich>
                  <a:bodyPr/>
                  <a:lstStyle/>
                  <a:p>
                    <a:r>
                      <a:rPr lang="en-US"/>
                      <a:t>25%</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B623-4539-89BE-17FADF0DE936}"/>
                </c:ext>
              </c:extLst>
            </c:dLbl>
            <c:dLbl>
              <c:idx val="4"/>
              <c:delete val="1"/>
              <c:extLst>
                <c:ext xmlns:c15="http://schemas.microsoft.com/office/drawing/2012/chart" uri="{CE6537A1-D6FC-4f65-9D91-7224C49458BB}"/>
                <c:ext xmlns:c16="http://schemas.microsoft.com/office/drawing/2014/chart" uri="{C3380CC4-5D6E-409C-BE32-E72D297353CC}">
                  <c16:uniqueId val="{00000003-B623-4539-89BE-17FADF0DE936}"/>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graficas!$J$18:$M$18</c:f>
              <c:strCache>
                <c:ptCount val="4"/>
                <c:pt idx="0">
                  <c:v>TOTAL ACTIVIDADES PROGRAMADAS AL  TERCER   TRIMESTRES</c:v>
                </c:pt>
                <c:pt idx="1">
                  <c:v>TOTAL EJECUTADAS  AL  TERCER  TRIMESTRE</c:v>
                </c:pt>
                <c:pt idx="2">
                  <c:v>% CUMPLIMIENTO TERCER TRIMESTRE</c:v>
                </c:pt>
                <c:pt idx="3">
                  <c:v>% CUMPLIMIENTO PROGRAMADAS AÑO</c:v>
                </c:pt>
              </c:strCache>
            </c:strRef>
          </c:cat>
          <c:val>
            <c:numRef>
              <c:f>graficas!$J$19:$M$19</c:f>
              <c:numCache>
                <c:formatCode>#,##0</c:formatCode>
                <c:ptCount val="4"/>
              </c:numCache>
            </c:numRef>
          </c:val>
          <c:extLst>
            <c:ext xmlns:c16="http://schemas.microsoft.com/office/drawing/2014/chart" uri="{C3380CC4-5D6E-409C-BE32-E72D297353CC}">
              <c16:uniqueId val="{00000000-B623-4539-89BE-17FADF0DE936}"/>
            </c:ext>
          </c:extLst>
        </c:ser>
        <c:dLbls>
          <c:dLblPos val="ctr"/>
          <c:showLegendKey val="0"/>
          <c:showVal val="0"/>
          <c:showCatName val="0"/>
          <c:showSerName val="0"/>
          <c:showPercent val="1"/>
          <c:showBubbleSize val="0"/>
          <c:showLeaderLines val="1"/>
        </c:dLbls>
        <c:gapWidth val="10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CUMPLIMIENTO CUARTO TRIMESTRE TRIMESTRE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B7E-4C5D-9334-CD648551666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AB7E-4C5D-9334-CD648551666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AB7E-4C5D-9334-CD648551666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B7E-4C5D-9334-CD648551666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B7E-4C5D-9334-CD6485516667}"/>
              </c:ext>
            </c:extLst>
          </c:dPt>
          <c:dLbls>
            <c:dLbl>
              <c:idx val="0"/>
              <c:tx>
                <c:rich>
                  <a:bodyPr/>
                  <a:lstStyle/>
                  <a:p>
                    <a:r>
                      <a:rPr lang="en-US"/>
                      <a:t>624</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AB7E-4C5D-9334-CD6485516667}"/>
                </c:ext>
              </c:extLst>
            </c:dLbl>
            <c:dLbl>
              <c:idx val="1"/>
              <c:tx>
                <c:rich>
                  <a:bodyPr/>
                  <a:lstStyle/>
                  <a:p>
                    <a:r>
                      <a:rPr lang="en-US"/>
                      <a:t>598</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AB7E-4C5D-9334-CD6485516667}"/>
                </c:ext>
              </c:extLst>
            </c:dLbl>
            <c:dLbl>
              <c:idx val="2"/>
              <c:tx>
                <c:rich>
                  <a:bodyPr/>
                  <a:lstStyle/>
                  <a:p>
                    <a:r>
                      <a:rPr lang="en-US"/>
                      <a:t>96%</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AB7E-4C5D-9334-CD6485516667}"/>
                </c:ext>
              </c:extLst>
            </c:dLbl>
            <c:dLbl>
              <c:idx val="3"/>
              <c:tx>
                <c:rich>
                  <a:bodyPr/>
                  <a:lstStyle/>
                  <a:p>
                    <a:r>
                      <a:rPr lang="en-US"/>
                      <a:t>22%</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AB7E-4C5D-9334-CD6485516667}"/>
                </c:ext>
              </c:extLst>
            </c:dLbl>
            <c:dLbl>
              <c:idx val="4"/>
              <c:delete val="1"/>
              <c:extLst>
                <c:ext xmlns:c15="http://schemas.microsoft.com/office/drawing/2012/chart" uri="{CE6537A1-D6FC-4f65-9D91-7224C49458BB}"/>
                <c:ext xmlns:c16="http://schemas.microsoft.com/office/drawing/2014/chart" uri="{C3380CC4-5D6E-409C-BE32-E72D297353CC}">
                  <c16:uniqueId val="{00000003-AB7E-4C5D-9334-CD6485516667}"/>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graficas!$N$18:$Q$18</c:f>
              <c:strCache>
                <c:ptCount val="4"/>
                <c:pt idx="0">
                  <c:v>TOTAL ACTIVIDADES PROGRAMADAS AL CUARTO TRIMESTRES</c:v>
                </c:pt>
                <c:pt idx="1">
                  <c:v>TOTAL EJECUTADAS  AL  SCUARTO  TRIMESTRE</c:v>
                </c:pt>
                <c:pt idx="2">
                  <c:v>% CUMPLIMIENTO CUARTO TRIMESTRE</c:v>
                </c:pt>
                <c:pt idx="3">
                  <c:v>% CUMPLIMIENTO PROGRAMADAS AÑO</c:v>
                </c:pt>
              </c:strCache>
            </c:strRef>
          </c:cat>
          <c:val>
            <c:numRef>
              <c:f>graficas!$N$19:$Q$19</c:f>
              <c:numCache>
                <c:formatCode>General</c:formatCode>
                <c:ptCount val="4"/>
              </c:numCache>
            </c:numRef>
          </c:val>
          <c:extLst>
            <c:ext xmlns:c16="http://schemas.microsoft.com/office/drawing/2014/chart" uri="{C3380CC4-5D6E-409C-BE32-E72D297353CC}">
              <c16:uniqueId val="{00000000-AB7E-4C5D-9334-CD6485516667}"/>
            </c:ext>
          </c:extLst>
        </c:ser>
        <c:dLbls>
          <c:dLblPos val="ctr"/>
          <c:showLegendKey val="0"/>
          <c:showVal val="0"/>
          <c:showCatName val="0"/>
          <c:showSerName val="0"/>
          <c:showPercent val="1"/>
          <c:showBubbleSize val="0"/>
          <c:showLeaderLines val="1"/>
        </c:dLbls>
        <c:gapWidth val="100"/>
        <c:secondPieSize val="75"/>
        <c:serLines>
          <c:spPr>
            <a:ln w="9525">
              <a:solidFill>
                <a:schemeClr val="dk1">
                  <a:lumMod val="50000"/>
                  <a:lumOff val="50000"/>
                </a:schemeClr>
              </a:solidFill>
              <a:round/>
            </a:ln>
            <a:effectLst/>
          </c:spPr>
        </c:serLines>
      </c:of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a:t>CUMPLIMIENTO</a:t>
            </a:r>
            <a:r>
              <a:rPr lang="es-MX" baseline="0"/>
              <a:t> DE LA EJECUCIÓN DEL POAI 2023 E.S.E HOSPITAL LA MARIA</a:t>
            </a:r>
            <a:endParaRPr lang="es-MX"/>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(graficas!$D$18,graficas!$H$18,graficas!$L$18,graficas!$P$18,graficas!$R$18)</c:f>
              <c:strCache>
                <c:ptCount val="5"/>
                <c:pt idx="0">
                  <c:v>% CUMPLIMIENTO PRIMER  TRIMESTRE</c:v>
                </c:pt>
                <c:pt idx="1">
                  <c:v>% CUMPLIMIENTO SEGUNDO TRIMESTRE</c:v>
                </c:pt>
                <c:pt idx="2">
                  <c:v>% CUMPLIMIENTO TERCER TRIMESTRE</c:v>
                </c:pt>
                <c:pt idx="3">
                  <c:v>% CUMPLIMIENTO CUARTO TRIMESTRE</c:v>
                </c:pt>
                <c:pt idx="4">
                  <c:v>TOTAL CUMPLIMIENTO AÑO</c:v>
                </c:pt>
              </c:strCache>
            </c:strRef>
          </c:cat>
          <c:val>
            <c:numRef>
              <c:f>(graficas!$D$19,graficas!$H$19,graficas!$L$19,graficas!$P$19,graficas!$R$19)</c:f>
              <c:numCache>
                <c:formatCode>#,##0</c:formatCode>
                <c:ptCount val="5"/>
              </c:numCache>
            </c:numRef>
          </c:val>
          <c:extLst>
            <c:ext xmlns:c16="http://schemas.microsoft.com/office/drawing/2014/chart" uri="{C3380CC4-5D6E-409C-BE32-E72D297353CC}">
              <c16:uniqueId val="{00000000-B460-4D04-ABAD-12123E36048F}"/>
            </c:ext>
          </c:extLst>
        </c:ser>
        <c:dLbls>
          <c:showLegendKey val="0"/>
          <c:showVal val="0"/>
          <c:showCatName val="0"/>
          <c:showSerName val="0"/>
          <c:showPercent val="0"/>
          <c:showBubbleSize val="0"/>
        </c:dLbls>
        <c:gapWidth val="150"/>
        <c:shape val="box"/>
        <c:axId val="763822888"/>
        <c:axId val="763823248"/>
        <c:axId val="0"/>
      </c:bar3DChart>
      <c:catAx>
        <c:axId val="763822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63823248"/>
        <c:crosses val="autoZero"/>
        <c:auto val="1"/>
        <c:lblAlgn val="ctr"/>
        <c:lblOffset val="100"/>
        <c:noMultiLvlLbl val="0"/>
      </c:catAx>
      <c:valAx>
        <c:axId val="76382324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63822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EJECUCIÓN POAI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D7A1-45C2-B500-02F9C1B615C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7A1-45C2-B500-02F9C1B615C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7A1-45C2-B500-02F9C1B615C2}"/>
              </c:ext>
            </c:extLst>
          </c:dPt>
          <c:dLbls>
            <c:dLbl>
              <c:idx val="0"/>
              <c:tx>
                <c:rich>
                  <a:bodyPr/>
                  <a:lstStyle/>
                  <a:p>
                    <a:r>
                      <a:rPr lang="en-US"/>
                      <a:t>2.753</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D7A1-45C2-B500-02F9C1B615C2}"/>
                </c:ext>
              </c:extLst>
            </c:dLbl>
            <c:dLbl>
              <c:idx val="1"/>
              <c:layout>
                <c:manualLayout>
                  <c:x val="1.7517279090113736E-2"/>
                  <c:y val="-1.1504811898512687E-3"/>
                </c:manualLayout>
              </c:layout>
              <c:tx>
                <c:rich>
                  <a:bodyPr/>
                  <a:lstStyle/>
                  <a:p>
                    <a:r>
                      <a:rPr lang="en-US"/>
                      <a:t>95,7%</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D7A1-45C2-B500-02F9C1B615C2}"/>
                </c:ext>
              </c:extLst>
            </c:dLbl>
            <c:dLbl>
              <c:idx val="2"/>
              <c:tx>
                <c:rich>
                  <a:bodyPr/>
                  <a:lstStyle/>
                  <a:p>
                    <a:r>
                      <a:rPr lang="en-US"/>
                      <a:t>2.634</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D7A1-45C2-B500-02F9C1B615C2}"/>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(graficas!$A$18,graficas!$R$18:$S$18)</c:f>
              <c:strCache>
                <c:ptCount val="3"/>
                <c:pt idx="0">
                  <c:v>ACTIVIDADES PROGRAMADAS AÑO</c:v>
                </c:pt>
                <c:pt idx="1">
                  <c:v>TOTAL CUMPLIMIENTO AÑO</c:v>
                </c:pt>
                <c:pt idx="2">
                  <c:v>TOTAL ACTIVIDADES EJECUTADAS</c:v>
                </c:pt>
              </c:strCache>
            </c:strRef>
          </c:cat>
          <c:val>
            <c:numRef>
              <c:f>(graficas!$A$19,graficas!$R$19,graficas!$S$19)</c:f>
              <c:numCache>
                <c:formatCode>0.0</c:formatCode>
                <c:ptCount val="3"/>
              </c:numCache>
            </c:numRef>
          </c:val>
          <c:extLst>
            <c:ext xmlns:c16="http://schemas.microsoft.com/office/drawing/2014/chart" uri="{C3380CC4-5D6E-409C-BE32-E72D297353CC}">
              <c16:uniqueId val="{00000000-D7A1-45C2-B500-02F9C1B615C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POAI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CONSOLIDADO!$D$3</c:f>
              <c:strCache>
                <c:ptCount val="1"/>
                <c:pt idx="0">
                  <c:v>TOTAL LINEA</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49B-467E-963E-F5EB00F7878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49B-467E-963E-F5EB00F7878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49B-467E-963E-F5EB00F7878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49B-467E-963E-F5EB00F7878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49B-467E-963E-F5EB00F7878D}"/>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849B-467E-963E-F5EB00F7878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849B-467E-963E-F5EB00F7878D}"/>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849B-467E-963E-F5EB00F7878D}"/>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849B-467E-963E-F5EB00F7878D}"/>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849B-467E-963E-F5EB00F7878D}"/>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849B-467E-963E-F5EB00F7878D}"/>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849B-467E-963E-F5EB00F7878D}"/>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849B-467E-963E-F5EB00F7878D}"/>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849B-467E-963E-F5EB00F7878D}"/>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849B-467E-963E-F5EB00F7878D}"/>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849B-467E-963E-F5EB00F7878D}"/>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849B-467E-963E-F5EB00F7878D}"/>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849B-467E-963E-F5EB00F7878D}"/>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849B-467E-963E-F5EB00F7878D}"/>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CONSOLIDADO!$A$4:$A$22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CONSOLIDADO!$D$4:$D$22</c:f>
              <c:numCache>
                <c:formatCode>_-"$"\ * #,##0_-;\-"$"\ * #,##0_-;_-"$"\ * "-"?_-;_-@_-</c:formatCode>
                <c:ptCount val="19"/>
                <c:pt idx="0">
                  <c:v>1360272751.3800001</c:v>
                </c:pt>
                <c:pt idx="3" formatCode="_-&quot;$&quot;\ * #,##0.00_-;\-&quot;$&quot;\ * #,##0.00_-;_-&quot;$&quot;\ * &quot;-&quot;??_-;_-@_-">
                  <c:v>69157016552.655304</c:v>
                </c:pt>
                <c:pt idx="5" formatCode="_-&quot;$&quot;\ * #,##0.00_-;\-&quot;$&quot;\ * #,##0.00_-;_-&quot;$&quot;\ * &quot;-&quot;??_-;_-@_-">
                  <c:v>87313843606.270447</c:v>
                </c:pt>
                <c:pt idx="7" formatCode="_-&quot;$&quot;\ * #,##0.00_-;\-&quot;$&quot;\ * #,##0.00_-;_-&quot;$&quot;\ * &quot;-&quot;??_-;_-@_-">
                  <c:v>3775014142.5752001</c:v>
                </c:pt>
                <c:pt idx="11" formatCode="_-&quot;$&quot;\ * #,##0.00_-;\-&quot;$&quot;\ * #,##0.00_-;_-&quot;$&quot;\ * &quot;-&quot;??_-;_-@_-">
                  <c:v>418906831.15999997</c:v>
                </c:pt>
                <c:pt idx="13" formatCode="_-&quot;$&quot;\ * #,##0.00_-;\-&quot;$&quot;\ * #,##0.00_-;_-&quot;$&quot;\ * &quot;-&quot;??_-;_-@_-">
                  <c:v>158201568</c:v>
                </c:pt>
                <c:pt idx="15" formatCode="_-&quot;$&quot;\ * #,##0.00_-;\-&quot;$&quot;\ * #,##0.00_-;_-&quot;$&quot;\ * &quot;-&quot;??_-;_-@_-">
                  <c:v>383710791</c:v>
                </c:pt>
                <c:pt idx="16" formatCode="_-&quot;$&quot;\ * #,##0_-;\-&quot;$&quot;\ * #,##0_-;_-&quot;$&quot;\ * &quot;-&quot;??_-;_-@_-">
                  <c:v>871849430</c:v>
                </c:pt>
              </c:numCache>
            </c:numRef>
          </c:val>
          <c:extLst>
            <c:ext xmlns:c16="http://schemas.microsoft.com/office/drawing/2014/chart" uri="{C3380CC4-5D6E-409C-BE32-E72D297353CC}">
              <c16:uniqueId val="{00000000-7BDC-4C51-B3A4-CEAB1D9B2D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POAI 2023- %  DE PRESUPUESTO EN LAS LINEAS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tx>
            <c:strRef>
              <c:f>CONSOLIDADO!$F$3</c:f>
              <c:strCache>
                <c:ptCount val="1"/>
                <c:pt idx="0">
                  <c:v>% LINEA SOBRE TOTAL PRESUPUESTO </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17F-4C4E-8FC6-56B4E2B0C4A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17F-4C4E-8FC6-56B4E2B0C4A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17F-4C4E-8FC6-56B4E2B0C4A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17F-4C4E-8FC6-56B4E2B0C4A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17F-4C4E-8FC6-56B4E2B0C4A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17F-4C4E-8FC6-56B4E2B0C4A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217F-4C4E-8FC6-56B4E2B0C4A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17F-4C4E-8FC6-56B4E2B0C4AB}"/>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217F-4C4E-8FC6-56B4E2B0C4AB}"/>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217F-4C4E-8FC6-56B4E2B0C4AB}"/>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217F-4C4E-8FC6-56B4E2B0C4AB}"/>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217F-4C4E-8FC6-56B4E2B0C4AB}"/>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217F-4C4E-8FC6-56B4E2B0C4AB}"/>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217F-4C4E-8FC6-56B4E2B0C4AB}"/>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217F-4C4E-8FC6-56B4E2B0C4AB}"/>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217F-4C4E-8FC6-56B4E2B0C4AB}"/>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217F-4C4E-8FC6-56B4E2B0C4AB}"/>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217F-4C4E-8FC6-56B4E2B0C4AB}"/>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217F-4C4E-8FC6-56B4E2B0C4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CONSOLIDADO!$A$4:$A$22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CONSOLIDADO!$F$4:$F$22</c:f>
              <c:numCache>
                <c:formatCode>0.0</c:formatCode>
                <c:ptCount val="19"/>
                <c:pt idx="0">
                  <c:v>0.8322825552659554</c:v>
                </c:pt>
                <c:pt idx="3">
                  <c:v>42.313703919027276</c:v>
                </c:pt>
                <c:pt idx="5">
                  <c:v>53.422954178119866</c:v>
                </c:pt>
                <c:pt idx="7">
                  <c:v>2.3097414937998013</c:v>
                </c:pt>
                <c:pt idx="11">
                  <c:v>0.25630804373792226</c:v>
                </c:pt>
                <c:pt idx="13">
                  <c:v>9.6795591272811191E-2</c:v>
                </c:pt>
                <c:pt idx="15">
                  <c:v>0.23477335504413632</c:v>
                </c:pt>
                <c:pt idx="16">
                  <c:v>0.53344086373223187</c:v>
                </c:pt>
              </c:numCache>
            </c:numRef>
          </c:val>
          <c:extLst>
            <c:ext xmlns:c16="http://schemas.microsoft.com/office/drawing/2014/chart" uri="{C3380CC4-5D6E-409C-BE32-E72D297353CC}">
              <c16:uniqueId val="{00000000-8911-42CF-9A17-51F06F1AC3FE}"/>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967-45A5-8D3E-06E354676D0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967-45A5-8D3E-06E354676D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POAI'!$Y$65,'[2]TRIMETRES POAI'!$AG$65)</c:f>
              <c:strCache>
                <c:ptCount val="2"/>
                <c:pt idx="0">
                  <c:v>% CUMPLIMIENTO TERCER TRIMESTRE</c:v>
                </c:pt>
                <c:pt idx="1">
                  <c:v>TOTAL CUMPLIMIENTO DE ACTIVIDADES -AÑO</c:v>
                </c:pt>
              </c:strCache>
            </c:strRef>
          </c:cat>
          <c:val>
            <c:numRef>
              <c:f>('[2]TRIMETRES POAI'!$Y$66,'[2]TRIMETRES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3967-45A5-8D3E-06E354676D0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8CA-4F56-B7F2-8C186199321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8CA-4F56-B7F2-8C186199321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8CA-4F56-B7F2-8C18619932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POAI'!$V$65:$X$65</c:f>
              <c:strCache>
                <c:ptCount val="3"/>
                <c:pt idx="0">
                  <c:v>ACTIVIDADES PROGRAMADAS AÑO</c:v>
                </c:pt>
                <c:pt idx="1">
                  <c:v>ACTIVIDADES PROGRAMADAS  TERCER TRIMESTRE</c:v>
                </c:pt>
                <c:pt idx="2">
                  <c:v>ACTIVIDADES EJECUTADAS TERCER TRIMESTRE</c:v>
                </c:pt>
              </c:strCache>
            </c:strRef>
          </c:cat>
          <c:val>
            <c:numRef>
              <c:f>'[2]TRIMETRES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C8CA-4F56-B7F2-8C186199321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FD7-4725-B049-AFB7FA791E5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FD7-4725-B049-AFB7FA791E5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FD7-4725-B049-AFB7FA791E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('[2]TRIMETRES POAI'!$V$65,'[2]TRIMETRES POAI'!$Z$65:$AA$65)</c:f>
              <c:strCache>
                <c:ptCount val="3"/>
                <c:pt idx="0">
                  <c:v>ACTIVIDADES PROGRAMADAS AÑO</c:v>
                </c:pt>
                <c:pt idx="1">
                  <c:v>TOTAL ACTIVIDADES PROGRAMADAS AL TRIMESTRES</c:v>
                </c:pt>
                <c:pt idx="2">
                  <c:v>TOTAL EJECUTADAS  AL TERCER TRIMESTRE</c:v>
                </c:pt>
              </c:strCache>
            </c:strRef>
          </c:cat>
          <c:val>
            <c:numRef>
              <c:f>('[2]TRIMETRES POAI'!$V$66,'[2]TRIMETRES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FFD7-4725-B049-AFB7FA791E58}"/>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'[4]RESUMEN POAI 2021'!$D$3</c:f>
              <c:strCache>
                <c:ptCount val="1"/>
                <c:pt idx="0">
                  <c:v>TOTAL LINEA</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BFA-4099-A050-6289034DBBB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BFA-4099-A050-6289034DBBB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BFA-4099-A050-6289034DBBB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BFA-4099-A050-6289034DBBB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BFA-4099-A050-6289034DBBB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BFA-4099-A050-6289034DBBB4}"/>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BFA-4099-A050-6289034DBBB4}"/>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EBFA-4099-A050-6289034DBBB4}"/>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EBFA-4099-A050-6289034DBBB4}"/>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EBFA-4099-A050-6289034DBBB4}"/>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EBFA-4099-A050-6289034DBBB4}"/>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EBFA-4099-A050-6289034DBBB4}"/>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EBFA-4099-A050-6289034DBBB4}"/>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EBFA-4099-A050-6289034DBBB4}"/>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EBFA-4099-A050-6289034DBBB4}"/>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EBFA-4099-A050-6289034DBBB4}"/>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EBFA-4099-A050-6289034DBBB4}"/>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EBFA-4099-A050-6289034DBBB4}"/>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EBFA-4099-A050-6289034DBBB4}"/>
              </c:ext>
            </c:extLst>
          </c:dPt>
          <c:dLbls>
            <c:dLbl>
              <c:idx val="0"/>
              <c:layout>
                <c:manualLayout>
                  <c:x val="0.2249900251610224"/>
                  <c:y val="-2.794502570740301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FA-4099-A050-6289034DBBB4}"/>
                </c:ext>
              </c:extLst>
            </c:dLbl>
            <c:dLbl>
              <c:idx val="7"/>
              <c:layout>
                <c:manualLayout>
                  <c:x val="-0.27328529125172696"/>
                  <c:y val="5.881296516017689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FA-4099-A050-6289034DBBB4}"/>
                </c:ext>
              </c:extLst>
            </c:dLbl>
            <c:dLbl>
              <c:idx val="11"/>
              <c:layout>
                <c:manualLayout>
                  <c:x val="-0.22676166513311999"/>
                  <c:y val="-3.707744579872721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BFA-4099-A050-6289034DBBB4}"/>
                </c:ext>
              </c:extLst>
            </c:dLbl>
            <c:dLbl>
              <c:idx val="16"/>
              <c:layout>
                <c:manualLayout>
                  <c:x val="0.1846389108290109"/>
                  <c:y val="-6.96116923740696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BFA-4099-A050-6289034DBB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'[4]RESUMEN POAI 2021'!$A$4:$A$22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'[4]RESUMEN POAI 2021'!$D$4:$D$22</c:f>
              <c:numCache>
                <c:formatCode>General</c:formatCode>
                <c:ptCount val="19"/>
                <c:pt idx="0">
                  <c:v>1244579448</c:v>
                </c:pt>
                <c:pt idx="3">
                  <c:v>58364277252</c:v>
                </c:pt>
                <c:pt idx="5">
                  <c:v>124917601424</c:v>
                </c:pt>
                <c:pt idx="7">
                  <c:v>1116129978</c:v>
                </c:pt>
                <c:pt idx="11">
                  <c:v>408050433</c:v>
                </c:pt>
                <c:pt idx="13">
                  <c:v>20000000</c:v>
                </c:pt>
                <c:pt idx="15">
                  <c:v>416661893</c:v>
                </c:pt>
                <c:pt idx="16">
                  <c:v>2130669603</c:v>
                </c:pt>
              </c:numCache>
            </c:numRef>
          </c:val>
          <c:extLst>
            <c:ext xmlns:c16="http://schemas.microsoft.com/office/drawing/2014/chart" uri="{C3380CC4-5D6E-409C-BE32-E72D297353CC}">
              <c16:uniqueId val="{00000026-EBFA-4099-A050-6289034DBBB4}"/>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ayout>
        <c:manualLayout>
          <c:xMode val="edge"/>
          <c:yMode val="edge"/>
          <c:x val="8.0731266247221503E-2"/>
          <c:y val="0.75098820695358282"/>
          <c:w val="0.87681497946727949"/>
          <c:h val="0.22841980368892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'[4]RESUMEN POAI 2021'!$F$3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23E-4A47-95F5-CAB0D807EA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23E-4A47-95F5-CAB0D807EA3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23E-4A47-95F5-CAB0D807EA3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23E-4A47-95F5-CAB0D807EA39}"/>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023E-4A47-95F5-CAB0D807EA39}"/>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023E-4A47-95F5-CAB0D807EA39}"/>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023E-4A47-95F5-CAB0D807EA39}"/>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023E-4A47-95F5-CAB0D807EA39}"/>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023E-4A47-95F5-CAB0D807EA39}"/>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023E-4A47-95F5-CAB0D807EA39}"/>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023E-4A47-95F5-CAB0D807EA39}"/>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023E-4A47-95F5-CAB0D807EA39}"/>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023E-4A47-95F5-CAB0D807EA39}"/>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023E-4A47-95F5-CAB0D807EA39}"/>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023E-4A47-95F5-CAB0D807EA39}"/>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023E-4A47-95F5-CAB0D807EA39}"/>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023E-4A47-95F5-CAB0D807EA39}"/>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023E-4A47-95F5-CAB0D807EA39}"/>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023E-4A47-95F5-CAB0D807EA3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'[4]RESUMEN POAI 2021'!$A$4:$A$22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'[4]RESUMEN POAI 2021'!$F$4:$F$22</c:f>
              <c:numCache>
                <c:formatCode>General</c:formatCode>
                <c:ptCount val="19"/>
                <c:pt idx="0">
                  <c:v>0.65984139676375964</c:v>
                </c:pt>
                <c:pt idx="3">
                  <c:v>30.943115993883101</c:v>
                </c:pt>
                <c:pt idx="5">
                  <c:v>66.227836829899815</c:v>
                </c:pt>
                <c:pt idx="7">
                  <c:v>0.59174106147816152</c:v>
                </c:pt>
                <c:pt idx="11">
                  <c:v>0.21633698683796435</c:v>
                </c:pt>
                <c:pt idx="13">
                  <c:v>1.0603443561985601E-2</c:v>
                </c:pt>
                <c:pt idx="15">
                  <c:v>0.22090254334277917</c:v>
                </c:pt>
                <c:pt idx="16">
                  <c:v>1.1296217442324383</c:v>
                </c:pt>
              </c:numCache>
            </c:numRef>
          </c:val>
          <c:extLst>
            <c:ext xmlns:c16="http://schemas.microsoft.com/office/drawing/2014/chart" uri="{C3380CC4-5D6E-409C-BE32-E72D297353CC}">
              <c16:uniqueId val="{00000026-023E-4A47-95F5-CAB0D807EA39}"/>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9.1995844269466318E-2"/>
          <c:y val="0.76961966361613232"/>
          <c:w val="0.90800415573053372"/>
          <c:h val="0.230380336383867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'consolidad finaciero2022'!$F$3</c:f>
              <c:strCache>
                <c:ptCount val="1"/>
                <c:pt idx="0">
                  <c:v>% LINEA SOBRE TOTAL PRESUPUESTO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C86-4B4B-97AE-CEAA5CD1A60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C86-4B4B-97AE-CEAA5CD1A60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C86-4B4B-97AE-CEAA5CD1A6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C86-4B4B-97AE-CEAA5CD1A60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0C86-4B4B-97AE-CEAA5CD1A6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0C86-4B4B-97AE-CEAA5CD1A60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0C86-4B4B-97AE-CEAA5CD1A60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0C86-4B4B-97AE-CEAA5CD1A60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0C86-4B4B-97AE-CEAA5CD1A60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0C86-4B4B-97AE-CEAA5CD1A603}"/>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0C86-4B4B-97AE-CEAA5CD1A603}"/>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0C86-4B4B-97AE-CEAA5CD1A603}"/>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0C86-4B4B-97AE-CEAA5CD1A603}"/>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0C86-4B4B-97AE-CEAA5CD1A603}"/>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0C86-4B4B-97AE-CEAA5CD1A603}"/>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0C86-4B4B-97AE-CEAA5CD1A603}"/>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0C86-4B4B-97AE-CEAA5CD1A603}"/>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0C86-4B4B-97AE-CEAA5CD1A603}"/>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0C86-4B4B-97AE-CEAA5CD1A60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'consolidad finaciero2022'!$A$4:$A$22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'consolidad finaciero2022'!$F$4:$F$22</c:f>
              <c:numCache>
                <c:formatCode>0.00</c:formatCode>
                <c:ptCount val="19"/>
                <c:pt idx="0">
                  <c:v>0.56829669716346631</c:v>
                </c:pt>
                <c:pt idx="3" formatCode="0.0">
                  <c:v>38.648366796818515</c:v>
                </c:pt>
                <c:pt idx="5" formatCode="0.0">
                  <c:v>55.956997790120703</c:v>
                </c:pt>
                <c:pt idx="7" formatCode="0.0">
                  <c:v>2.6586347569550774</c:v>
                </c:pt>
                <c:pt idx="11" formatCode="0.0">
                  <c:v>0.2760621443189461</c:v>
                </c:pt>
                <c:pt idx="13" formatCode="0.0">
                  <c:v>0.16344673076516164</c:v>
                </c:pt>
                <c:pt idx="15" formatCode="0.0">
                  <c:v>0.25445683085110676</c:v>
                </c:pt>
                <c:pt idx="16" formatCode="0.0">
                  <c:v>1.4737382530070262</c:v>
                </c:pt>
              </c:numCache>
            </c:numRef>
          </c:val>
          <c:extLst>
            <c:ext xmlns:c16="http://schemas.microsoft.com/office/drawing/2014/chart" uri="{C3380CC4-5D6E-409C-BE32-E72D297353CC}">
              <c16:uniqueId val="{00000000-0CF9-470B-9D00-CB71B611E0C1}"/>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0.69030767876419785"/>
          <c:y val="0.68252338186503958"/>
          <c:w val="0.30662366031002825"/>
          <c:h val="0.3119605322196842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CUMPLIMIENTO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('[2]4 TRIMESTRE'!$Y$65,'[2]4 TRIMESTRE'!$AB$65,'[2]4 TRIMESTRE'!$AE$65,'[2]4 TRIMESTRE'!$AJ$65,'[2]4 TRIMESTRE'!$AM$65)</c:f>
              <c:strCache>
                <c:ptCount val="5"/>
                <c:pt idx="0">
                  <c:v>% CUMPLIMIENTO PRIMER TRIMESTRE</c:v>
                </c:pt>
                <c:pt idx="1">
                  <c:v>% CUMPLIMIENTO SEGUNDO  TRIMESTRE</c:v>
                </c:pt>
                <c:pt idx="2">
                  <c:v>% CUMPLIMIENTO TERCER TRIMESTRE</c:v>
                </c:pt>
                <c:pt idx="3">
                  <c:v>% CUMPLIMIENTO CUARTO TRIMESTRE</c:v>
                </c:pt>
                <c:pt idx="4">
                  <c:v>TOTAL CUMPLIMIENTO DE ACTIVIDADES -AÑO</c:v>
                </c:pt>
              </c:strCache>
            </c:strRef>
          </c:cat>
          <c:val>
            <c:numRef>
              <c:f>('[2]4 TRIMESTRE'!$Y$66,'[2]4 TRIMESTRE'!$AB$66,'[2]4 TRIMESTRE'!$AE$66,'[2]4 TRIMESTRE'!$AJ$66,'[2]4 TRIMESTRE'!$AM$66)</c:f>
              <c:numCache>
                <c:formatCode>General</c:formatCode>
                <c:ptCount val="5"/>
                <c:pt idx="0">
                  <c:v>126.67928098391674</c:v>
                </c:pt>
                <c:pt idx="1">
                  <c:v>105.66411781365052</c:v>
                </c:pt>
                <c:pt idx="2">
                  <c:v>91.409574468085111</c:v>
                </c:pt>
                <c:pt idx="3">
                  <c:v>67.821950390757735</c:v>
                </c:pt>
                <c:pt idx="4">
                  <c:v>95.902170391966308</c:v>
                </c:pt>
              </c:numCache>
            </c:numRef>
          </c:val>
          <c:extLst>
            <c:ext xmlns:c16="http://schemas.microsoft.com/office/drawing/2014/chart" uri="{C3380CC4-5D6E-409C-BE32-E72D297353CC}">
              <c16:uniqueId val="{00000000-954B-49CF-96F9-F8ACD7116437}"/>
            </c:ext>
          </c:extLst>
        </c:ser>
        <c:dLbls>
          <c:dLblPos val="outEnd"/>
          <c:showLegendKey val="0"/>
          <c:showVal val="1"/>
          <c:showCatName val="0"/>
          <c:showSerName val="0"/>
          <c:showPercent val="0"/>
          <c:showBubbleSize val="0"/>
        </c:dLbls>
        <c:gapWidth val="100"/>
        <c:overlap val="-24"/>
        <c:axId val="579048664"/>
        <c:axId val="579049648"/>
      </c:barChart>
      <c:catAx>
        <c:axId val="57904866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79049648"/>
        <c:crosses val="autoZero"/>
        <c:auto val="1"/>
        <c:lblAlgn val="ctr"/>
        <c:lblOffset val="100"/>
        <c:noMultiLvlLbl val="0"/>
      </c:catAx>
      <c:valAx>
        <c:axId val="57904964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PORCENTAJE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79048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CUMPLIMIENTO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ofPieChart>
        <c:ofPieType val="bar"/>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B03-4C2C-B2F1-468BFCD8409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B03-4C2C-B2F1-468BFCD8409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EB03-4C2C-B2F1-468BFCD8409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EB03-4C2C-B2F1-468BFCD84090}"/>
              </c:ext>
            </c:extLst>
          </c:dPt>
          <c:dLbls>
            <c:dLbl>
              <c:idx val="0"/>
              <c:tx>
                <c:rich>
                  <a:bodyPr/>
                  <a:lstStyle/>
                  <a:p>
                    <a:fld id="{93D5E26F-4912-4568-A49E-D73875E28C81}" type="VALUE">
                      <a:rPr lang="en-US"/>
                      <a:pPr/>
                      <a:t>[]</a:t>
                    </a:fld>
                    <a:r>
                      <a:rPr lang="en-US" baseline="0"/>
                      <a:t>;</a:t>
                    </a:r>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B03-4C2C-B2F1-468BFCD84090}"/>
                </c:ext>
              </c:extLst>
            </c:dLbl>
            <c:dLbl>
              <c:idx val="1"/>
              <c:tx>
                <c:rich>
                  <a:bodyPr/>
                  <a:lstStyle/>
                  <a:p>
                    <a:fld id="{899372B9-43C9-4962-BAD5-8D635CAA5A50}" type="VALUE">
                      <a:rPr lang="en-US"/>
                      <a:pPr/>
                      <a:t>[]</a:t>
                    </a:fld>
                    <a:r>
                      <a:rPr lang="en-US" baseline="0"/>
                      <a:t>; </a:t>
                    </a:r>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B03-4C2C-B2F1-468BFCD84090}"/>
                </c:ext>
              </c:extLst>
            </c:dLbl>
            <c:dLbl>
              <c:idx val="3"/>
              <c:delete val="1"/>
              <c:extLst>
                <c:ext xmlns:c15="http://schemas.microsoft.com/office/drawing/2012/chart" uri="{CE6537A1-D6FC-4f65-9D91-7224C49458BB}"/>
                <c:ext xmlns:c16="http://schemas.microsoft.com/office/drawing/2014/chart" uri="{C3380CC4-5D6E-409C-BE32-E72D297353CC}">
                  <c16:uniqueId val="{00000007-EB03-4C2C-B2F1-468BFCD840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'[2]4 TRIMESTRE'!$AK$65:$AM$65</c:f>
              <c:strCache>
                <c:ptCount val="3"/>
                <c:pt idx="0">
                  <c:v>TOTAL ACTIVIDADES PROGRADAS AÑO</c:v>
                </c:pt>
                <c:pt idx="1">
                  <c:v>TOTAL ACTIVIDADES EJECUTADAS  AÑO</c:v>
                </c:pt>
                <c:pt idx="2">
                  <c:v>TOTAL CUMPLIMIENTO DE ACTIVIDADES -AÑO</c:v>
                </c:pt>
              </c:strCache>
            </c:strRef>
          </c:cat>
          <c:val>
            <c:numRef>
              <c:f>'[2]4 TRIMESTRE'!$AK$66:$AM$66</c:f>
              <c:numCache>
                <c:formatCode>General</c:formatCode>
                <c:ptCount val="3"/>
                <c:pt idx="0">
                  <c:v>12348</c:v>
                </c:pt>
                <c:pt idx="1">
                  <c:v>11842</c:v>
                </c:pt>
                <c:pt idx="2">
                  <c:v>95.902170391966308</c:v>
                </c:pt>
              </c:numCache>
            </c:numRef>
          </c:val>
          <c:extLst>
            <c:ext xmlns:c16="http://schemas.microsoft.com/office/drawing/2014/chart" uri="{C3380CC4-5D6E-409C-BE32-E72D297353CC}">
              <c16:uniqueId val="{00000008-EB03-4C2C-B2F1-468BFCD84090}"/>
            </c:ext>
          </c:extLst>
        </c:ser>
        <c:dLbls>
          <c:dLblPos val="ctr"/>
          <c:showLegendKey val="0"/>
          <c:showVal val="0"/>
          <c:showCatName val="0"/>
          <c:showSerName val="0"/>
          <c:showPercent val="1"/>
          <c:showBubbleSize val="0"/>
          <c:showLeaderLines val="1"/>
        </c:dLbls>
        <c:gapWidth val="100"/>
        <c:secondPieSize val="75"/>
        <c:serLines>
          <c:spPr>
            <a:ln w="9525" cap="flat" cmpd="sng" algn="ctr">
              <a:solidFill>
                <a:schemeClr val="lt1">
                  <a:lumMod val="95000"/>
                  <a:alpha val="54000"/>
                </a:schemeClr>
              </a:solidFill>
              <a:round/>
            </a:ln>
            <a:effectLst/>
          </c:spPr>
        </c:serLines>
      </c:ofPieChart>
      <c:spPr>
        <a:noFill/>
        <a:ln>
          <a:noFill/>
        </a:ln>
        <a:effectLst>
          <a:outerShdw blurRad="50800" dist="50800" dir="5400000" sx="82000" sy="82000" algn="ctr" rotWithShape="0">
            <a:srgbClr val="000000"/>
          </a:outerShdw>
          <a:softEdge rad="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Promedio</a:t>
            </a:r>
            <a:r>
              <a:rPr lang="es-CO" baseline="0"/>
              <a:t> de cumplimiento  primer trimestre 2022</a:t>
            </a:r>
            <a:endParaRPr lang="es-CO"/>
          </a:p>
        </c:rich>
      </c:tx>
      <c:overlay val="0"/>
      <c:spPr>
        <a:noFill/>
        <a:ln>
          <a:noFill/>
        </a:ln>
        <a:effectLst/>
      </c:spPr>
    </c:title>
    <c:autoTitleDeleted val="0"/>
    <c:plotArea>
      <c:layout>
        <c:manualLayout>
          <c:layoutTarget val="inner"/>
          <c:xMode val="edge"/>
          <c:yMode val="edge"/>
          <c:x val="0.23282489632547301"/>
          <c:y val="9.5969836758677471E-2"/>
          <c:w val="0.50196676832399989"/>
          <c:h val="0.88382947509866361"/>
        </c:manualLayout>
      </c:layout>
      <c:doughnutChart>
        <c:varyColors val="1"/>
        <c:ser>
          <c:idx val="2"/>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(GRAFICOS!$B$1:$D$1,GRAFICOS!$F$1)</c:f>
              <c:strCache>
                <c:ptCount val="4"/>
                <c:pt idx="0">
                  <c:v>TOTAL ACTIVIDADES PROGRAMADAS AÑO</c:v>
                </c:pt>
                <c:pt idx="1">
                  <c:v>PROGRAMADAS 1 TRIMETRE</c:v>
                </c:pt>
                <c:pt idx="2">
                  <c:v>REALIZADAS 1 TRIMETRE</c:v>
                </c:pt>
                <c:pt idx="3">
                  <c:v>% CON RELACIÓN A LAS PROGRAMADAS 1 TRIMESTRE </c:v>
                </c:pt>
              </c:strCache>
            </c:strRef>
          </c:cat>
          <c:val>
            <c:numRef>
              <c:f>(GRAFICOS!$B$2:$D$2,GRAFICOS!$F$2)</c:f>
              <c:numCache>
                <c:formatCode>General</c:formatCode>
                <c:ptCount val="4"/>
              </c:numCache>
            </c:numRef>
          </c:val>
          <c:extLst>
            <c:ext xmlns:c16="http://schemas.microsoft.com/office/drawing/2014/chart" uri="{C3380CC4-5D6E-409C-BE32-E72D297353CC}">
              <c16:uniqueId val="{00000017-E813-4405-A186-5C6235F88E92}"/>
            </c:ext>
          </c:extLst>
        </c:ser>
        <c:ser>
          <c:idx val="3"/>
          <c:order val="1"/>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(GRAFICOS!$B$1:$D$1,GRAFICOS!$F$1)</c:f>
              <c:strCache>
                <c:ptCount val="4"/>
                <c:pt idx="0">
                  <c:v>TOTAL ACTIVIDADES PROGRAMADAS AÑO</c:v>
                </c:pt>
                <c:pt idx="1">
                  <c:v>PROGRAMADAS 1 TRIMETRE</c:v>
                </c:pt>
                <c:pt idx="2">
                  <c:v>REALIZADAS 1 TRIMETRE</c:v>
                </c:pt>
                <c:pt idx="3">
                  <c:v>% CON RELACIÓN A LAS PROGRAMADAS 1 TRIMESTRE </c:v>
                </c:pt>
              </c:strCache>
            </c:strRef>
          </c:cat>
          <c:val>
            <c:numRef>
              <c:f>(GRAFICOS!$B$3:$D$3,GRAFICOS!$F$3)</c:f>
              <c:numCache>
                <c:formatCode>General</c:formatCode>
                <c:ptCount val="4"/>
                <c:pt idx="0">
                  <c:v>9255</c:v>
                </c:pt>
                <c:pt idx="1">
                  <c:v>3770</c:v>
                </c:pt>
                <c:pt idx="2">
                  <c:v>3991</c:v>
                </c:pt>
                <c:pt idx="3" formatCode="0%">
                  <c:v>0.8848255803289341</c:v>
                </c:pt>
              </c:numCache>
            </c:numRef>
          </c:val>
          <c:extLst>
            <c:ext xmlns:c16="http://schemas.microsoft.com/office/drawing/2014/chart" uri="{C3380CC4-5D6E-409C-BE32-E72D297353CC}">
              <c16:uniqueId val="{00000018-E813-4405-A186-5C6235F88E92}"/>
            </c:ext>
          </c:extLst>
        </c:ser>
        <c:ser>
          <c:idx val="0"/>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5-E813-4405-A186-5C6235F88E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E813-4405-A186-5C6235F88E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E813-4405-A186-5C6235F88E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B-E813-4405-A186-5C6235F88E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GRAFICOS!$B$1:$E$1</c:f>
              <c:strCache>
                <c:ptCount val="4"/>
                <c:pt idx="0">
                  <c:v>TOTAL ACTIVIDADES PROGRAMADAS AÑO</c:v>
                </c:pt>
                <c:pt idx="1">
                  <c:v>PROGRAMADAS 1 TRIMETRE</c:v>
                </c:pt>
                <c:pt idx="2">
                  <c:v>REALIZADAS 1 TRIMETRE</c:v>
                </c:pt>
                <c:pt idx="3">
                  <c:v>% CUMPLIMIENTO  CON RELACIÓN A LAS PROGRAMADAS AÑO </c:v>
                </c:pt>
              </c:strCache>
            </c:strRef>
          </c:cat>
          <c:val>
            <c:numRef>
              <c:f>GRAFICOS!$B$2:$E$2</c:f>
              <c:numCache>
                <c:formatCode>General</c:formatCode>
                <c:ptCount val="4"/>
              </c:numCache>
            </c:numRef>
          </c:val>
          <c:extLst>
            <c:ext xmlns:c16="http://schemas.microsoft.com/office/drawing/2014/chart" uri="{C3380CC4-5D6E-409C-BE32-E72D297353CC}">
              <c16:uniqueId val="{0000000C-E813-4405-A186-5C6235F88E92}"/>
            </c:ext>
          </c:extLst>
        </c:ser>
        <c:ser>
          <c:idx val="1"/>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F-E813-4405-A186-5C6235F88E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E813-4405-A186-5C6235F88E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E813-4405-A186-5C6235F88E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E813-4405-A186-5C6235F88E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GRAFICOS!$B$1:$E$1</c:f>
              <c:strCache>
                <c:ptCount val="4"/>
                <c:pt idx="0">
                  <c:v>TOTAL ACTIVIDADES PROGRAMADAS AÑO</c:v>
                </c:pt>
                <c:pt idx="1">
                  <c:v>PROGRAMADAS 1 TRIMETRE</c:v>
                </c:pt>
                <c:pt idx="2">
                  <c:v>REALIZADAS 1 TRIMETRE</c:v>
                </c:pt>
                <c:pt idx="3">
                  <c:v>% CUMPLIMIENTO  CON RELACIÓN A LAS PROGRAMADAS AÑO </c:v>
                </c:pt>
              </c:strCache>
            </c:strRef>
          </c:cat>
          <c:val>
            <c:numRef>
              <c:f>GRAFICOS!$B$3:$E$3</c:f>
              <c:numCache>
                <c:formatCode>General</c:formatCode>
                <c:ptCount val="4"/>
                <c:pt idx="0">
                  <c:v>9255</c:v>
                </c:pt>
                <c:pt idx="1">
                  <c:v>3770</c:v>
                </c:pt>
                <c:pt idx="2">
                  <c:v>3991</c:v>
                </c:pt>
                <c:pt idx="3" formatCode="0%">
                  <c:v>0.22573989693800145</c:v>
                </c:pt>
              </c:numCache>
            </c:numRef>
          </c:val>
          <c:extLst>
            <c:ext xmlns:c16="http://schemas.microsoft.com/office/drawing/2014/chart" uri="{C3380CC4-5D6E-409C-BE32-E72D297353CC}">
              <c16:uniqueId val="{00000016-E813-4405-A186-5C6235F88E92}"/>
            </c:ext>
          </c:extLst>
        </c:ser>
        <c:dLbls>
          <c:showLegendKey val="0"/>
          <c:showVal val="1"/>
          <c:showCatName val="0"/>
          <c:showSerName val="0"/>
          <c:showPercent val="0"/>
          <c:showBubbleSize val="0"/>
          <c:showLeaderLines val="1"/>
        </c:dLbls>
        <c:firstSliceAng val="0"/>
        <c:holeSize val="75"/>
      </c:doughnut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Porcentaje de cumplimiento primer</a:t>
            </a:r>
            <a:r>
              <a:rPr lang="es-CO" baseline="0"/>
              <a:t> trimestre 2022</a:t>
            </a:r>
            <a:r>
              <a:rPr lang="es-CO"/>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GRAFICOS!$B$1:$F$1</c:f>
              <c:strCache>
                <c:ptCount val="5"/>
                <c:pt idx="0">
                  <c:v>TOTAL ACTIVIDADES PROGRAMADAS AÑO</c:v>
                </c:pt>
                <c:pt idx="1">
                  <c:v>PROGRAMADAS 1 TRIMETRE</c:v>
                </c:pt>
                <c:pt idx="2">
                  <c:v>REALIZADAS 1 TRIMETRE</c:v>
                </c:pt>
                <c:pt idx="3">
                  <c:v>% CUMPLIMIENTO  CON RELACIÓN A LAS PROGRAMADAS AÑO </c:v>
                </c:pt>
                <c:pt idx="4">
                  <c:v>% CON RELACIÓN A LAS PROGRAMADAS 1 TRIMESTRE </c:v>
                </c:pt>
              </c:strCache>
            </c:strRef>
          </c:cat>
          <c:val>
            <c:numRef>
              <c:f>GRAFICOS!$B$2:$F$2</c:f>
              <c:numCache>
                <c:formatCode>General</c:formatCode>
                <c:ptCount val="5"/>
              </c:numCache>
            </c:numRef>
          </c:val>
          <c:extLst>
            <c:ext xmlns:c16="http://schemas.microsoft.com/office/drawing/2014/chart" uri="{C3380CC4-5D6E-409C-BE32-E72D297353CC}">
              <c16:uniqueId val="{00000000-C88B-4CD7-AA52-8089FC2C6D3F}"/>
            </c:ext>
          </c:extLst>
        </c:ser>
        <c: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GRAFICOS!$B$1:$F$1</c:f>
              <c:strCache>
                <c:ptCount val="5"/>
                <c:pt idx="0">
                  <c:v>TOTAL ACTIVIDADES PROGRAMADAS AÑO</c:v>
                </c:pt>
                <c:pt idx="1">
                  <c:v>PROGRAMADAS 1 TRIMETRE</c:v>
                </c:pt>
                <c:pt idx="2">
                  <c:v>REALIZADAS 1 TRIMETRE</c:v>
                </c:pt>
                <c:pt idx="3">
                  <c:v>% CUMPLIMIENTO  CON RELACIÓN A LAS PROGRAMADAS AÑO </c:v>
                </c:pt>
                <c:pt idx="4">
                  <c:v>% CON RELACIÓN A LAS PROGRAMADAS 1 TRIMESTRE </c:v>
                </c:pt>
              </c:strCache>
            </c:strRef>
          </c:cat>
          <c:val>
            <c:numRef>
              <c:f>GRAFICOS!$B$4:$F$4</c:f>
              <c:numCache>
                <c:formatCode>General</c:formatCode>
                <c:ptCount val="5"/>
                <c:pt idx="0">
                  <c:v>9255</c:v>
                </c:pt>
                <c:pt idx="1">
                  <c:v>3770</c:v>
                </c:pt>
                <c:pt idx="2">
                  <c:v>3991</c:v>
                </c:pt>
                <c:pt idx="3" formatCode="0%">
                  <c:v>0.43122636412749865</c:v>
                </c:pt>
                <c:pt idx="4" formatCode="0%">
                  <c:v>1.0586206896551724</c:v>
                </c:pt>
              </c:numCache>
            </c:numRef>
          </c:val>
          <c:extLst>
            <c:ext xmlns:c16="http://schemas.microsoft.com/office/drawing/2014/chart" uri="{C3380CC4-5D6E-409C-BE32-E72D297353CC}">
              <c16:uniqueId val="{00000001-C88B-4CD7-AA52-8089FC2C6D3F}"/>
            </c:ext>
          </c:extLst>
        </c:ser>
        <c:dLbls>
          <c:dLblPos val="outEnd"/>
          <c:showLegendKey val="0"/>
          <c:showVal val="1"/>
          <c:showCatName val="0"/>
          <c:showSerName val="0"/>
          <c:showPercent val="0"/>
          <c:showBubbleSize val="0"/>
        </c:dLbls>
        <c:gapWidth val="182"/>
        <c:axId val="533367864"/>
        <c:axId val="533368192"/>
      </c:barChart>
      <c:catAx>
        <c:axId val="533367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368192"/>
        <c:crosses val="autoZero"/>
        <c:auto val="1"/>
        <c:lblAlgn val="ctr"/>
        <c:lblOffset val="100"/>
        <c:noMultiLvlLbl val="0"/>
      </c:catAx>
      <c:valAx>
        <c:axId val="533368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367864"/>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'RESUMEN LINEAS-POAI'!$C$17</c:f>
              <c:strCache>
                <c:ptCount val="1"/>
                <c:pt idx="0">
                  <c:v>PRIMER TRIMESTRE</c:v>
                </c:pt>
              </c:strCache>
            </c:strRef>
          </c:tx>
          <c:spPr>
            <a:solidFill>
              <a:schemeClr val="accent1"/>
            </a:solidFill>
            <a:ln>
              <a:noFill/>
            </a:ln>
            <a:effectLst/>
          </c:spPr>
          <c:invertIfNegative val="0"/>
          <c:cat>
            <c:strRef>
              <c:f>'RESUMEN LINEAS-POAI'!$A$18:$A$26</c:f>
              <c:strCache>
                <c:ptCount val="9"/>
                <c:pt idx="1">
                  <c:v>Linea 1</c:v>
                </c:pt>
                <c:pt idx="2">
                  <c:v>Linea 2</c:v>
                </c:pt>
                <c:pt idx="3">
                  <c:v>Linea 3</c:v>
                </c:pt>
                <c:pt idx="4">
                  <c:v>Linea 4</c:v>
                </c:pt>
                <c:pt idx="5">
                  <c:v>Linea 5</c:v>
                </c:pt>
                <c:pt idx="6">
                  <c:v>Linea 6</c:v>
                </c:pt>
                <c:pt idx="7">
                  <c:v>Linea 7</c:v>
                </c:pt>
                <c:pt idx="8">
                  <c:v>Linea 8</c:v>
                </c:pt>
              </c:strCache>
            </c:strRef>
          </c:cat>
          <c:val>
            <c:numRef>
              <c:f>'RESUMEN LINEAS-POAI'!$C$18:$C$26</c:f>
              <c:numCache>
                <c:formatCode>#,##0</c:formatCode>
                <c:ptCount val="9"/>
                <c:pt idx="1">
                  <c:v>173840008</c:v>
                </c:pt>
                <c:pt idx="2">
                  <c:v>19616792701</c:v>
                </c:pt>
                <c:pt idx="3">
                  <c:v>17905329215</c:v>
                </c:pt>
                <c:pt idx="4">
                  <c:v>1199259976</c:v>
                </c:pt>
                <c:pt idx="5">
                  <c:v>66897654</c:v>
                </c:pt>
                <c:pt idx="6">
                  <c:v>34848791</c:v>
                </c:pt>
                <c:pt idx="7">
                  <c:v>116614327</c:v>
                </c:pt>
                <c:pt idx="8">
                  <c:v>623402330.39999986</c:v>
                </c:pt>
              </c:numCache>
            </c:numRef>
          </c:val>
          <c:extLst>
            <c:ext xmlns:c16="http://schemas.microsoft.com/office/drawing/2014/chart" uri="{C3380CC4-5D6E-409C-BE32-E72D297353CC}">
              <c16:uniqueId val="{00000000-7E16-48CC-B6A5-8209A6A31938}"/>
            </c:ext>
          </c:extLst>
        </c:ser>
        <c:ser>
          <c:idx val="1"/>
          <c:order val="1"/>
          <c:tx>
            <c:strRef>
              <c:f>'RESUMEN LINEAS-POAI'!$D$17</c:f>
              <c:strCache>
                <c:ptCount val="1"/>
                <c:pt idx="0">
                  <c:v>SEGUNDO  TRIMESTRE</c:v>
                </c:pt>
              </c:strCache>
            </c:strRef>
          </c:tx>
          <c:spPr>
            <a:solidFill>
              <a:schemeClr val="accent2"/>
            </a:solidFill>
            <a:ln>
              <a:noFill/>
            </a:ln>
            <a:effectLst/>
          </c:spPr>
          <c:invertIfNegative val="0"/>
          <c:cat>
            <c:strRef>
              <c:f>'RESUMEN LINEAS-POAI'!$A$18:$A$26</c:f>
              <c:strCache>
                <c:ptCount val="9"/>
                <c:pt idx="1">
                  <c:v>Linea 1</c:v>
                </c:pt>
                <c:pt idx="2">
                  <c:v>Linea 2</c:v>
                </c:pt>
                <c:pt idx="3">
                  <c:v>Linea 3</c:v>
                </c:pt>
                <c:pt idx="4">
                  <c:v>Linea 4</c:v>
                </c:pt>
                <c:pt idx="5">
                  <c:v>Linea 5</c:v>
                </c:pt>
                <c:pt idx="6">
                  <c:v>Linea 6</c:v>
                </c:pt>
                <c:pt idx="7">
                  <c:v>Linea 7</c:v>
                </c:pt>
                <c:pt idx="8">
                  <c:v>Linea 8</c:v>
                </c:pt>
              </c:strCache>
            </c:strRef>
          </c:cat>
          <c:val>
            <c:numRef>
              <c:f>'RESUMEN LINEAS-POAI'!$D$18:$D$26</c:f>
              <c:numCache>
                <c:formatCode>#,##0</c:formatCode>
                <c:ptCount val="9"/>
                <c:pt idx="1">
                  <c:v>173840008</c:v>
                </c:pt>
                <c:pt idx="2">
                  <c:v>10766076558</c:v>
                </c:pt>
                <c:pt idx="3">
                  <c:v>8782218462</c:v>
                </c:pt>
                <c:pt idx="4">
                  <c:v>1687108234</c:v>
                </c:pt>
                <c:pt idx="5">
                  <c:v>66897654</c:v>
                </c:pt>
                <c:pt idx="6">
                  <c:v>34848791</c:v>
                </c:pt>
                <c:pt idx="7">
                  <c:v>14923578</c:v>
                </c:pt>
                <c:pt idx="8">
                  <c:v>747455070.99999988</c:v>
                </c:pt>
              </c:numCache>
            </c:numRef>
          </c:val>
          <c:extLst>
            <c:ext xmlns:c16="http://schemas.microsoft.com/office/drawing/2014/chart" uri="{C3380CC4-5D6E-409C-BE32-E72D297353CC}">
              <c16:uniqueId val="{00000001-7E16-48CC-B6A5-8209A6A31938}"/>
            </c:ext>
          </c:extLst>
        </c:ser>
        <c:dLbls>
          <c:showLegendKey val="0"/>
          <c:showVal val="0"/>
          <c:showCatName val="0"/>
          <c:showSerName val="0"/>
          <c:showPercent val="0"/>
          <c:showBubbleSize val="0"/>
        </c:dLbls>
        <c:gapWidth val="219"/>
        <c:overlap val="-27"/>
        <c:axId val="530405728"/>
        <c:axId val="530403760"/>
        <c:extLst>
          <c:ext xmlns:c15="http://schemas.microsoft.com/office/drawing/2012/chart" uri="{02D57815-91ED-43cb-92C2-25804820EDAC}">
            <c15:filteredBarSeries>
              <c15:ser>
                <c:idx val="2"/>
                <c:order val="2"/>
                <c:tx>
                  <c:strRef>
                    <c:extLst>
                      <c:ext uri="{02D57815-91ED-43cb-92C2-25804820EDAC}">
                        <c15:formulaRef>
                          <c15:sqref>'RESUMEN LINEAS-POAI'!$E$17</c15:sqref>
                        </c15:formulaRef>
                      </c:ext>
                    </c:extLst>
                    <c:strCache>
                      <c:ptCount val="1"/>
                      <c:pt idx="0">
                        <c:v>TERCER TRIMESTRE</c:v>
                      </c:pt>
                    </c:strCache>
                  </c:strRef>
                </c:tx>
                <c:spPr>
                  <a:solidFill>
                    <a:schemeClr val="accent3"/>
                  </a:solidFill>
                  <a:ln>
                    <a:noFill/>
                  </a:ln>
                  <a:effectLst/>
                </c:spPr>
                <c:invertIfNegative val="0"/>
                <c:cat>
                  <c:strRef>
                    <c:extLst>
                      <c:ext uri="{02D57815-91ED-43cb-92C2-25804820EDAC}">
                        <c15:formulaRef>
                          <c15:sqref>'RESUMEN LINEAS-POAI'!$A$18:$A$26</c15:sqref>
                        </c15:formulaRef>
                      </c:ext>
                    </c:extLst>
                    <c:strCache>
                      <c:ptCount val="9"/>
                      <c:pt idx="1">
                        <c:v>Linea 1</c:v>
                      </c:pt>
                      <c:pt idx="2">
                        <c:v>Linea 2</c:v>
                      </c:pt>
                      <c:pt idx="3">
                        <c:v>Linea 3</c:v>
                      </c:pt>
                      <c:pt idx="4">
                        <c:v>Linea 4</c:v>
                      </c:pt>
                      <c:pt idx="5">
                        <c:v>Linea 5</c:v>
                      </c:pt>
                      <c:pt idx="6">
                        <c:v>Linea 6</c:v>
                      </c:pt>
                      <c:pt idx="7">
                        <c:v>Linea 7</c:v>
                      </c:pt>
                      <c:pt idx="8">
                        <c:v>Linea 8</c:v>
                      </c:pt>
                    </c:strCache>
                  </c:strRef>
                </c:cat>
                <c:val>
                  <c:numRef>
                    <c:extLst>
                      <c:ext uri="{02D57815-91ED-43cb-92C2-25804820EDAC}">
                        <c15:formulaRef>
                          <c15:sqref>'RESUMEN LINEAS-POAI'!$E$18:$E$26</c15:sqref>
                        </c15:formulaRef>
                      </c:ext>
                    </c:extLst>
                    <c:numCache>
                      <c:formatCode>General</c:formatCode>
                      <c:ptCount val="9"/>
                      <c:pt idx="1">
                        <c:v>0</c:v>
                      </c:pt>
                      <c:pt idx="2">
                        <c:v>0</c:v>
                      </c:pt>
                      <c:pt idx="3">
                        <c:v>0</c:v>
                      </c:pt>
                      <c:pt idx="4">
                        <c:v>0</c:v>
                      </c:pt>
                      <c:pt idx="5">
                        <c:v>0</c:v>
                      </c:pt>
                      <c:pt idx="6">
                        <c:v>34848791</c:v>
                      </c:pt>
                      <c:pt idx="7">
                        <c:v>0</c:v>
                      </c:pt>
                      <c:pt idx="8">
                        <c:v>0</c:v>
                      </c:pt>
                    </c:numCache>
                  </c:numRef>
                </c:val>
                <c:extLst>
                  <c:ext xmlns:c16="http://schemas.microsoft.com/office/drawing/2014/chart" uri="{C3380CC4-5D6E-409C-BE32-E72D297353CC}">
                    <c16:uniqueId val="{00000002-7E16-48CC-B6A5-8209A6A31938}"/>
                  </c:ext>
                </c:extLst>
              </c15:ser>
            </c15:filteredBarSeries>
          </c:ext>
        </c:extLst>
      </c:barChart>
      <c:catAx>
        <c:axId val="53040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403760"/>
        <c:crosses val="autoZero"/>
        <c:auto val="1"/>
        <c:lblAlgn val="ctr"/>
        <c:lblOffset val="100"/>
        <c:noMultiLvlLbl val="0"/>
      </c:catAx>
      <c:valAx>
        <c:axId val="53040376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3040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POAI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'COSOLIDADO POAI'!$D$3</c:f>
              <c:strCache>
                <c:ptCount val="1"/>
                <c:pt idx="0">
                  <c:v>TOTAL LINEA</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8-F269-494C-8990-B4B8C0026D6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E0F-4F2B-8E54-143A6FAE0C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E0F-4F2B-8E54-143A6FAE0C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E0F-4F2B-8E54-143A6FAE0C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E0F-4F2B-8E54-143A6FAE0C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E0F-4F2B-8E54-143A6FAE0CF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7E0F-4F2B-8E54-143A6FAE0CF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F269-494C-8990-B4B8C0026D6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7E0F-4F2B-8E54-143A6FAE0CF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7E0F-4F2B-8E54-143A6FAE0CF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7E0F-4F2B-8E54-143A6FAE0CF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F269-494C-8990-B4B8C0026D6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7E0F-4F2B-8E54-143A6FAE0CF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F269-494C-8990-B4B8C0026D6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7E0F-4F2B-8E54-143A6FAE0CF6}"/>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6-F269-494C-8990-B4B8C0026D66}"/>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F269-494C-8990-B4B8C0026D66}"/>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7E0F-4F2B-8E54-143A6FAE0CF6}"/>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7E0F-4F2B-8E54-143A6FAE0CF6}"/>
              </c:ext>
            </c:extLst>
          </c:dPt>
          <c:dLbls>
            <c:dLbl>
              <c:idx val="0"/>
              <c:layout>
                <c:manualLayout>
                  <c:x val="0.1486432161106814"/>
                  <c:y val="6.38422211117404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69-494C-8990-B4B8C0026D66}"/>
                </c:ext>
              </c:extLst>
            </c:dLbl>
            <c:dLbl>
              <c:idx val="7"/>
              <c:layout>
                <c:manualLayout>
                  <c:x val="-0.17443187147640604"/>
                  <c:y val="-3.0772727133130434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94C-8990-B4B8C0026D66}"/>
                </c:ext>
              </c:extLst>
            </c:dLbl>
            <c:dLbl>
              <c:idx val="11"/>
              <c:layout>
                <c:manualLayout>
                  <c:x val="-0.10886287124964274"/>
                  <c:y val="-8.485577313296108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69-494C-8990-B4B8C0026D66}"/>
                </c:ext>
              </c:extLst>
            </c:dLbl>
            <c:dLbl>
              <c:idx val="13"/>
              <c:layout>
                <c:manualLayout>
                  <c:x val="-0.10585971323375962"/>
                  <c:y val="-2.839852392695798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9.6931785611635346E-2"/>
                      <c:h val="4.3182287825468534E-2"/>
                    </c:manualLayout>
                  </c15:layout>
                </c:ext>
                <c:ext xmlns:c16="http://schemas.microsoft.com/office/drawing/2014/chart" uri="{C3380CC4-5D6E-409C-BE32-E72D297353CC}">
                  <c16:uniqueId val="{00000005-F269-494C-8990-B4B8C0026D66}"/>
                </c:ext>
              </c:extLst>
            </c:dLbl>
            <c:dLbl>
              <c:idx val="15"/>
              <c:layout>
                <c:manualLayout>
                  <c:x val="0.16507547362706249"/>
                  <c:y val="-0.102267985965811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69-494C-8990-B4B8C0026D66}"/>
                </c:ext>
              </c:extLst>
            </c:dLbl>
            <c:dLbl>
              <c:idx val="16"/>
              <c:layout>
                <c:manualLayout>
                  <c:x val="0.20397527777504393"/>
                  <c:y val="-5.908569814034276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94C-8990-B4B8C0026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POAI'!$D$4:$D$6,'COSOLIDADO POAI'!$D$7:$D$8,'COSOLIDADO POAI'!$D$9:$D$10,'COSOLIDADO POAI'!$D$11:$D$14,'COSOLIDADO POAI'!$D$15:$D$16,'COSOLIDADO POAI'!$D$17:$D$18,'COSOLIDADO POAI'!$D$19,'COSOLIDADO POAI'!$D$20:$D$22)</c:f>
              <c:numCache>
                <c:formatCode>_-"$"\ * #,##0_-;\-"$"\ * #,##0_-;_-"$"\ * "-"?_-;_-@_-</c:formatCode>
                <c:ptCount val="19"/>
                <c:pt idx="0">
                  <c:v>876375074</c:v>
                </c:pt>
                <c:pt idx="3" formatCode="_-&quot;$&quot;\ * #,##0.00_-;\-&quot;$&quot;\ * #,##0.00_-;_-&quot;$&quot;\ * &quot;-&quot;??_-;_-@_-">
                  <c:v>59599968609</c:v>
                </c:pt>
                <c:pt idx="5" formatCode="_-&quot;$&quot;\ * #,##0.00_-;\-&quot;$&quot;\ * #,##0.00_-;_-&quot;$&quot;\ * &quot;-&quot;??_-;_-@_-">
                  <c:v>86291752748</c:v>
                </c:pt>
                <c:pt idx="7" formatCode="_-&quot;$&quot;\ * #,##0.00_-;\-&quot;$&quot;\ * #,##0.00_-;_-&quot;$&quot;\ * &quot;-&quot;??_-;_-@_-">
                  <c:v>4099902821</c:v>
                </c:pt>
                <c:pt idx="11" formatCode="_-&quot;$&quot;\ * #,##0.00_-;\-&quot;$&quot;\ * #,##0.00_-;_-&quot;$&quot;\ * &quot;-&quot;??_-;_-@_-">
                  <c:v>425717734</c:v>
                </c:pt>
                <c:pt idx="13" formatCode="_-&quot;$&quot;\ * #,##0.00_-;\-&quot;$&quot;\ * #,##0.00_-;_-&quot;$&quot;\ * &quot;-&quot;??_-;_-@_-">
                  <c:v>252052566</c:v>
                </c:pt>
                <c:pt idx="15" formatCode="_-&quot;$&quot;\ * #,##0.00_-;\-&quot;$&quot;\ * #,##0.00_-;_-&quot;$&quot;\ * &quot;-&quot;??_-;_-@_-">
                  <c:v>392400000</c:v>
                </c:pt>
                <c:pt idx="16" formatCode="_-&quot;$&quot;\ * #,##0_-;\-&quot;$&quot;\ * #,##0_-;_-&quot;$&quot;\ * &quot;-&quot;??_-;_-@_-">
                  <c:v>2272664045</c:v>
                </c:pt>
              </c:numCache>
            </c:numRef>
          </c:val>
          <c:extLst>
            <c:ext xmlns:c16="http://schemas.microsoft.com/office/drawing/2014/chart" uri="{C3380CC4-5D6E-409C-BE32-E72D297353CC}">
              <c16:uniqueId val="{00000000-F269-494C-8990-B4B8C0026D66}"/>
            </c:ext>
          </c:extLst>
        </c:ser>
        <c:ser>
          <c:idx val="1"/>
          <c:order val="1"/>
          <c:tx>
            <c:strRef>
              <c:f>'COSOLIDADO POAI'!$F$3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7-7E0F-4F2B-8E54-143A6FAE0CF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9-7E0F-4F2B-8E54-143A6FAE0C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B-7E0F-4F2B-8E54-143A6FAE0C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2D-7E0F-4F2B-8E54-143A6FAE0C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2F-7E0F-4F2B-8E54-143A6FAE0C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31-7E0F-4F2B-8E54-143A6FAE0CF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3-7E0F-4F2B-8E54-143A6FAE0CF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5-7E0F-4F2B-8E54-143A6FAE0CF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7-7E0F-4F2B-8E54-143A6FAE0CF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9-7E0F-4F2B-8E54-143A6FAE0CF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B-7E0F-4F2B-8E54-143A6FAE0CF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D-7E0F-4F2B-8E54-143A6FAE0CF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F-7E0F-4F2B-8E54-143A6FAE0CF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1-7E0F-4F2B-8E54-143A6FAE0CF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3-7E0F-4F2B-8E54-143A6FAE0CF6}"/>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5-7E0F-4F2B-8E54-143A6FAE0CF6}"/>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7-7E0F-4F2B-8E54-143A6FAE0CF6}"/>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9-7E0F-4F2B-8E54-143A6FAE0CF6}"/>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B-7E0F-4F2B-8E54-143A6FAE0C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POAI'!$F$4:$F$6,'COSOLIDADO POAI'!$F$7:$F$8,'COSOLIDADO POAI'!$F$9:$F$10,'COSOLIDADO POAI'!$F$11:$F$14,'COSOLIDADO POAI'!$F$15:$F$16,'COSOLIDADO POAI'!$F$17:$F$18,'COSOLIDADO POAI'!$F$19,'COSOLIDADO POAI'!$F$20:$F$22)</c:f>
              <c:numCache>
                <c:formatCode>0.0</c:formatCode>
                <c:ptCount val="19"/>
                <c:pt idx="0">
                  <c:v>0.56829669716346631</c:v>
                </c:pt>
                <c:pt idx="3">
                  <c:v>38.648366796818515</c:v>
                </c:pt>
                <c:pt idx="5">
                  <c:v>55.956997790120703</c:v>
                </c:pt>
                <c:pt idx="7">
                  <c:v>2.6586347569550774</c:v>
                </c:pt>
                <c:pt idx="11">
                  <c:v>0.2760621443189461</c:v>
                </c:pt>
                <c:pt idx="13">
                  <c:v>0.16344673076516164</c:v>
                </c:pt>
                <c:pt idx="15">
                  <c:v>0.25445683085110676</c:v>
                </c:pt>
                <c:pt idx="16">
                  <c:v>1.4737382530070262</c:v>
                </c:pt>
              </c:numCache>
            </c:numRef>
          </c:val>
          <c:extLst>
            <c:ext xmlns:c16="http://schemas.microsoft.com/office/drawing/2014/chart" uri="{C3380CC4-5D6E-409C-BE32-E72D297353CC}">
              <c16:uniqueId val="{00000001-F269-494C-8990-B4B8C0026D66}"/>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0.16953727592561571"/>
          <c:y val="0.72114032869009237"/>
          <c:w val="0.83046272407438448"/>
          <c:h val="0.27885967130990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POAI 2022</a:t>
            </a:r>
          </a:p>
        </c:rich>
      </c:tx>
      <c:layout>
        <c:manualLayout>
          <c:xMode val="edge"/>
          <c:yMode val="edge"/>
          <c:x val="0.4629536013880618"/>
          <c:y val="1.8327603752396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'COSOLIDADO POAI'!$F$3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7C4-4F7B-AD5F-5EC48CEAC39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7C4-4F7B-AD5F-5EC48CEAC39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7C4-4F7B-AD5F-5EC48CEAC39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7C4-4F7B-AD5F-5EC48CEAC39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7C4-4F7B-AD5F-5EC48CEAC39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7C4-4F7B-AD5F-5EC48CEAC39D}"/>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7C4-4F7B-AD5F-5EC48CEAC39D}"/>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7C4-4F7B-AD5F-5EC48CEAC39D}"/>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97C4-4F7B-AD5F-5EC48CEAC39D}"/>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97C4-4F7B-AD5F-5EC48CEAC39D}"/>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97C4-4F7B-AD5F-5EC48CEAC39D}"/>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97C4-4F7B-AD5F-5EC48CEAC39D}"/>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97C4-4F7B-AD5F-5EC48CEAC39D}"/>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97C4-4F7B-AD5F-5EC48CEAC39D}"/>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97C4-4F7B-AD5F-5EC48CEAC39D}"/>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97C4-4F7B-AD5F-5EC48CEAC39D}"/>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97C4-4F7B-AD5F-5EC48CEAC39D}"/>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97C4-4F7B-AD5F-5EC48CEAC39D}"/>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97C4-4F7B-AD5F-5EC48CEAC3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POAI'!$F$4:$F$6,'COSOLIDADO POAI'!$F$7:$F$8,'COSOLIDADO POAI'!$F$9:$F$10,'COSOLIDADO POAI'!$F$11:$F$14,'COSOLIDADO POAI'!$F$15:$F$16,'COSOLIDADO POAI'!$F$17:$F$18,'COSOLIDADO POAI'!$F$19,'COSOLIDADO POAI'!$F$20:$F$22)</c:f>
              <c:numCache>
                <c:formatCode>0.0</c:formatCode>
                <c:ptCount val="19"/>
                <c:pt idx="0">
                  <c:v>0.56829669716346631</c:v>
                </c:pt>
                <c:pt idx="3">
                  <c:v>38.648366796818515</c:v>
                </c:pt>
                <c:pt idx="5">
                  <c:v>55.956997790120703</c:v>
                </c:pt>
                <c:pt idx="7">
                  <c:v>2.6586347569550774</c:v>
                </c:pt>
                <c:pt idx="11">
                  <c:v>0.2760621443189461</c:v>
                </c:pt>
                <c:pt idx="13">
                  <c:v>0.16344673076516164</c:v>
                </c:pt>
                <c:pt idx="15">
                  <c:v>0.25445683085110676</c:v>
                </c:pt>
                <c:pt idx="16">
                  <c:v>1.4737382530070262</c:v>
                </c:pt>
              </c:numCache>
            </c:numRef>
          </c:val>
          <c:extLst>
            <c:ext xmlns:c16="http://schemas.microsoft.com/office/drawing/2014/chart" uri="{C3380CC4-5D6E-409C-BE32-E72D297353CC}">
              <c16:uniqueId val="{00000026-97C4-4F7B-AD5F-5EC48CEAC39D}"/>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3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9.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98534</xdr:rowOff>
    </xdr:from>
    <xdr:to>
      <xdr:col>2</xdr:col>
      <xdr:colOff>1143001</xdr:colOff>
      <xdr:row>1</xdr:row>
      <xdr:rowOff>296961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 y="98534"/>
          <a:ext cx="1143000" cy="591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903270</xdr:colOff>
      <xdr:row>74</xdr:row>
      <xdr:rowOff>94609</xdr:rowOff>
    </xdr:from>
    <xdr:to>
      <xdr:col>20</xdr:col>
      <xdr:colOff>188360</xdr:colOff>
      <xdr:row>88</xdr:row>
      <xdr:rowOff>140842</xdr:rowOff>
    </xdr:to>
    <xdr:graphicFrame macro="">
      <xdr:nvGraphicFramePr>
        <xdr:cNvPr id="2" name="Gráfico 1">
          <a:extLst>
            <a:ext uri="{FF2B5EF4-FFF2-40B4-BE49-F238E27FC236}">
              <a16:creationId xmlns:a16="http://schemas.microsoft.com/office/drawing/2014/main" id="{04241058-90A3-4F9C-8B7B-C6D1FF277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378859</xdr:colOff>
      <xdr:row>75</xdr:row>
      <xdr:rowOff>105310</xdr:rowOff>
    </xdr:from>
    <xdr:to>
      <xdr:col>23</xdr:col>
      <xdr:colOff>562938</xdr:colOff>
      <xdr:row>89</xdr:row>
      <xdr:rowOff>151544</xdr:rowOff>
    </xdr:to>
    <xdr:graphicFrame macro="">
      <xdr:nvGraphicFramePr>
        <xdr:cNvPr id="3" name="Gráfico 2">
          <a:extLst>
            <a:ext uri="{FF2B5EF4-FFF2-40B4-BE49-F238E27FC236}">
              <a16:creationId xmlns:a16="http://schemas.microsoft.com/office/drawing/2014/main" id="{5CE51106-7081-4187-933C-B83E0C366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1673831</xdr:colOff>
      <xdr:row>76</xdr:row>
      <xdr:rowOff>83906</xdr:rowOff>
    </xdr:from>
    <xdr:to>
      <xdr:col>34</xdr:col>
      <xdr:colOff>991027</xdr:colOff>
      <xdr:row>90</xdr:row>
      <xdr:rowOff>130139</xdr:rowOff>
    </xdr:to>
    <xdr:graphicFrame macro="">
      <xdr:nvGraphicFramePr>
        <xdr:cNvPr id="4" name="Gráfico 3">
          <a:extLst>
            <a:ext uri="{FF2B5EF4-FFF2-40B4-BE49-F238E27FC236}">
              <a16:creationId xmlns:a16="http://schemas.microsoft.com/office/drawing/2014/main" id="{01525A86-6E0B-4A2F-93DA-A6FEA0375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903270</xdr:colOff>
      <xdr:row>72</xdr:row>
      <xdr:rowOff>94609</xdr:rowOff>
    </xdr:from>
    <xdr:to>
      <xdr:col>20</xdr:col>
      <xdr:colOff>188360</xdr:colOff>
      <xdr:row>86</xdr:row>
      <xdr:rowOff>140842</xdr:rowOff>
    </xdr:to>
    <xdr:graphicFrame macro="">
      <xdr:nvGraphicFramePr>
        <xdr:cNvPr id="5" name="Gráfico 4">
          <a:extLst>
            <a:ext uri="{FF2B5EF4-FFF2-40B4-BE49-F238E27FC236}">
              <a16:creationId xmlns:a16="http://schemas.microsoft.com/office/drawing/2014/main" id="{57B2D0A5-FB96-45E3-A5C7-02F63A0F7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378859</xdr:colOff>
      <xdr:row>73</xdr:row>
      <xdr:rowOff>105310</xdr:rowOff>
    </xdr:from>
    <xdr:to>
      <xdr:col>23</xdr:col>
      <xdr:colOff>562938</xdr:colOff>
      <xdr:row>87</xdr:row>
      <xdr:rowOff>151544</xdr:rowOff>
    </xdr:to>
    <xdr:graphicFrame macro="">
      <xdr:nvGraphicFramePr>
        <xdr:cNvPr id="6" name="Gráfico 5">
          <a:extLst>
            <a:ext uri="{FF2B5EF4-FFF2-40B4-BE49-F238E27FC236}">
              <a16:creationId xmlns:a16="http://schemas.microsoft.com/office/drawing/2014/main" id="{5C0BC300-9D94-4371-87AC-05EF6BA09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1673831</xdr:colOff>
      <xdr:row>74</xdr:row>
      <xdr:rowOff>83906</xdr:rowOff>
    </xdr:from>
    <xdr:to>
      <xdr:col>34</xdr:col>
      <xdr:colOff>991027</xdr:colOff>
      <xdr:row>88</xdr:row>
      <xdr:rowOff>130139</xdr:rowOff>
    </xdr:to>
    <xdr:graphicFrame macro="">
      <xdr:nvGraphicFramePr>
        <xdr:cNvPr id="7" name="Gráfico 6">
          <a:extLst>
            <a:ext uri="{FF2B5EF4-FFF2-40B4-BE49-F238E27FC236}">
              <a16:creationId xmlns:a16="http://schemas.microsoft.com/office/drawing/2014/main" id="{C1185554-588E-485D-AA2A-62DAC6657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903270</xdr:colOff>
      <xdr:row>72</xdr:row>
      <xdr:rowOff>94609</xdr:rowOff>
    </xdr:from>
    <xdr:to>
      <xdr:col>20</xdr:col>
      <xdr:colOff>188360</xdr:colOff>
      <xdr:row>86</xdr:row>
      <xdr:rowOff>140842</xdr:rowOff>
    </xdr:to>
    <xdr:graphicFrame macro="">
      <xdr:nvGraphicFramePr>
        <xdr:cNvPr id="8" name="Gráfico 7">
          <a:extLst>
            <a:ext uri="{FF2B5EF4-FFF2-40B4-BE49-F238E27FC236}">
              <a16:creationId xmlns:a16="http://schemas.microsoft.com/office/drawing/2014/main" id="{8D11688B-D816-41E2-AC7E-7F190B024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378859</xdr:colOff>
      <xdr:row>73</xdr:row>
      <xdr:rowOff>105310</xdr:rowOff>
    </xdr:from>
    <xdr:to>
      <xdr:col>23</xdr:col>
      <xdr:colOff>562938</xdr:colOff>
      <xdr:row>87</xdr:row>
      <xdr:rowOff>151544</xdr:rowOff>
    </xdr:to>
    <xdr:graphicFrame macro="">
      <xdr:nvGraphicFramePr>
        <xdr:cNvPr id="9" name="Gráfico 8">
          <a:extLst>
            <a:ext uri="{FF2B5EF4-FFF2-40B4-BE49-F238E27FC236}">
              <a16:creationId xmlns:a16="http://schemas.microsoft.com/office/drawing/2014/main" id="{8526C407-D6D0-4F7F-B815-F34CADE8A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1673831</xdr:colOff>
      <xdr:row>74</xdr:row>
      <xdr:rowOff>83906</xdr:rowOff>
    </xdr:from>
    <xdr:to>
      <xdr:col>34</xdr:col>
      <xdr:colOff>991027</xdr:colOff>
      <xdr:row>88</xdr:row>
      <xdr:rowOff>130139</xdr:rowOff>
    </xdr:to>
    <xdr:graphicFrame macro="">
      <xdr:nvGraphicFramePr>
        <xdr:cNvPr id="10" name="Gráfico 9">
          <a:extLst>
            <a:ext uri="{FF2B5EF4-FFF2-40B4-BE49-F238E27FC236}">
              <a16:creationId xmlns:a16="http://schemas.microsoft.com/office/drawing/2014/main" id="{269F3599-02CB-432B-BE3E-1F91EE3B1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903270</xdr:colOff>
      <xdr:row>72</xdr:row>
      <xdr:rowOff>94609</xdr:rowOff>
    </xdr:from>
    <xdr:to>
      <xdr:col>20</xdr:col>
      <xdr:colOff>188360</xdr:colOff>
      <xdr:row>86</xdr:row>
      <xdr:rowOff>140842</xdr:rowOff>
    </xdr:to>
    <xdr:graphicFrame macro="">
      <xdr:nvGraphicFramePr>
        <xdr:cNvPr id="11" name="Gráfico 10">
          <a:extLst>
            <a:ext uri="{FF2B5EF4-FFF2-40B4-BE49-F238E27FC236}">
              <a16:creationId xmlns:a16="http://schemas.microsoft.com/office/drawing/2014/main" id="{FFDC7858-ED52-4F20-99E7-6C3955482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378859</xdr:colOff>
      <xdr:row>73</xdr:row>
      <xdr:rowOff>105310</xdr:rowOff>
    </xdr:from>
    <xdr:to>
      <xdr:col>23</xdr:col>
      <xdr:colOff>562938</xdr:colOff>
      <xdr:row>87</xdr:row>
      <xdr:rowOff>151544</xdr:rowOff>
    </xdr:to>
    <xdr:graphicFrame macro="">
      <xdr:nvGraphicFramePr>
        <xdr:cNvPr id="12" name="Gráfico 11">
          <a:extLst>
            <a:ext uri="{FF2B5EF4-FFF2-40B4-BE49-F238E27FC236}">
              <a16:creationId xmlns:a16="http://schemas.microsoft.com/office/drawing/2014/main" id="{FE472E6A-5D24-4CD9-A8F2-E2FD37DD3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1673831</xdr:colOff>
      <xdr:row>74</xdr:row>
      <xdr:rowOff>83906</xdr:rowOff>
    </xdr:from>
    <xdr:to>
      <xdr:col>34</xdr:col>
      <xdr:colOff>991027</xdr:colOff>
      <xdr:row>88</xdr:row>
      <xdr:rowOff>130139</xdr:rowOff>
    </xdr:to>
    <xdr:graphicFrame macro="">
      <xdr:nvGraphicFramePr>
        <xdr:cNvPr id="13" name="Gráfico 12">
          <a:extLst>
            <a:ext uri="{FF2B5EF4-FFF2-40B4-BE49-F238E27FC236}">
              <a16:creationId xmlns:a16="http://schemas.microsoft.com/office/drawing/2014/main" id="{0BDF9C3F-D4B5-4220-A598-D99882FF4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138112</xdr:rowOff>
    </xdr:from>
    <xdr:to>
      <xdr:col>3</xdr:col>
      <xdr:colOff>1171575</xdr:colOff>
      <xdr:row>16</xdr:row>
      <xdr:rowOff>133350</xdr:rowOff>
    </xdr:to>
    <xdr:graphicFrame macro="">
      <xdr:nvGraphicFramePr>
        <xdr:cNvPr id="5" name="Gráfico 4">
          <a:extLst>
            <a:ext uri="{FF2B5EF4-FFF2-40B4-BE49-F238E27FC236}">
              <a16:creationId xmlns:a16="http://schemas.microsoft.com/office/drawing/2014/main" id="{68FB8483-5225-F646-6A9F-74ACCC570D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20</xdr:row>
      <xdr:rowOff>14287</xdr:rowOff>
    </xdr:from>
    <xdr:to>
      <xdr:col>3</xdr:col>
      <xdr:colOff>685800</xdr:colOff>
      <xdr:row>34</xdr:row>
      <xdr:rowOff>90487</xdr:rowOff>
    </xdr:to>
    <xdr:graphicFrame macro="">
      <xdr:nvGraphicFramePr>
        <xdr:cNvPr id="6" name="Gráfico 5">
          <a:extLst>
            <a:ext uri="{FF2B5EF4-FFF2-40B4-BE49-F238E27FC236}">
              <a16:creationId xmlns:a16="http://schemas.microsoft.com/office/drawing/2014/main" id="{9EA47F2B-4284-35D0-A21D-14FBDB2E34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33337</xdr:colOff>
      <xdr:row>0</xdr:row>
      <xdr:rowOff>61911</xdr:rowOff>
    </xdr:from>
    <xdr:to>
      <xdr:col>8</xdr:col>
      <xdr:colOff>180975</xdr:colOff>
      <xdr:row>16</xdr:row>
      <xdr:rowOff>123824</xdr:rowOff>
    </xdr:to>
    <xdr:graphicFrame macro="">
      <xdr:nvGraphicFramePr>
        <xdr:cNvPr id="12" name="Gráfico 11">
          <a:extLst>
            <a:ext uri="{FF2B5EF4-FFF2-40B4-BE49-F238E27FC236}">
              <a16:creationId xmlns:a16="http://schemas.microsoft.com/office/drawing/2014/main" id="{F94D1604-A145-7A69-7273-FC86ECA01D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0</xdr:row>
      <xdr:rowOff>157162</xdr:rowOff>
    </xdr:from>
    <xdr:to>
      <xdr:col>13</xdr:col>
      <xdr:colOff>85725</xdr:colOff>
      <xdr:row>16</xdr:row>
      <xdr:rowOff>76200</xdr:rowOff>
    </xdr:to>
    <xdr:graphicFrame macro="">
      <xdr:nvGraphicFramePr>
        <xdr:cNvPr id="2" name="Gráfico 1">
          <a:extLst>
            <a:ext uri="{FF2B5EF4-FFF2-40B4-BE49-F238E27FC236}">
              <a16:creationId xmlns:a16="http://schemas.microsoft.com/office/drawing/2014/main" id="{ED7F813A-2FC1-5C05-16EE-4BECFE084F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795337</xdr:colOff>
      <xdr:row>0</xdr:row>
      <xdr:rowOff>61912</xdr:rowOff>
    </xdr:from>
    <xdr:to>
      <xdr:col>19</xdr:col>
      <xdr:colOff>633412</xdr:colOff>
      <xdr:row>14</xdr:row>
      <xdr:rowOff>138112</xdr:rowOff>
    </xdr:to>
    <xdr:graphicFrame macro="">
      <xdr:nvGraphicFramePr>
        <xdr:cNvPr id="4" name="Gráfico 3">
          <a:extLst>
            <a:ext uri="{FF2B5EF4-FFF2-40B4-BE49-F238E27FC236}">
              <a16:creationId xmlns:a16="http://schemas.microsoft.com/office/drawing/2014/main" id="{7EA61DA8-4551-4F73-5F57-2D023F1865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852486</xdr:colOff>
      <xdr:row>20</xdr:row>
      <xdr:rowOff>100011</xdr:rowOff>
    </xdr:from>
    <xdr:to>
      <xdr:col>14</xdr:col>
      <xdr:colOff>447675</xdr:colOff>
      <xdr:row>40</xdr:row>
      <xdr:rowOff>57150</xdr:rowOff>
    </xdr:to>
    <xdr:graphicFrame macro="">
      <xdr:nvGraphicFramePr>
        <xdr:cNvPr id="7" name="Gráfico 6">
          <a:extLst>
            <a:ext uri="{FF2B5EF4-FFF2-40B4-BE49-F238E27FC236}">
              <a16:creationId xmlns:a16="http://schemas.microsoft.com/office/drawing/2014/main" id="{F09995D7-4FA9-69BB-E7E3-E9173FDF06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119062</xdr:colOff>
      <xdr:row>20</xdr:row>
      <xdr:rowOff>23812</xdr:rowOff>
    </xdr:from>
    <xdr:to>
      <xdr:col>19</xdr:col>
      <xdr:colOff>309562</xdr:colOff>
      <xdr:row>34</xdr:row>
      <xdr:rowOff>100012</xdr:rowOff>
    </xdr:to>
    <xdr:graphicFrame macro="">
      <xdr:nvGraphicFramePr>
        <xdr:cNvPr id="14" name="Gráfico 13">
          <a:extLst>
            <a:ext uri="{FF2B5EF4-FFF2-40B4-BE49-F238E27FC236}">
              <a16:creationId xmlns:a16="http://schemas.microsoft.com/office/drawing/2014/main" id="{906B1552-74F0-2F32-513A-969827E892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347660</xdr:colOff>
      <xdr:row>4</xdr:row>
      <xdr:rowOff>38100</xdr:rowOff>
    </xdr:from>
    <xdr:to>
      <xdr:col>21</xdr:col>
      <xdr:colOff>714375</xdr:colOff>
      <xdr:row>23</xdr:row>
      <xdr:rowOff>66674</xdr:rowOff>
    </xdr:to>
    <xdr:graphicFrame macro="">
      <xdr:nvGraphicFramePr>
        <xdr:cNvPr id="5" name="Gráfico 4">
          <a:extLst>
            <a:ext uri="{FF2B5EF4-FFF2-40B4-BE49-F238E27FC236}">
              <a16:creationId xmlns:a16="http://schemas.microsoft.com/office/drawing/2014/main" id="{4D814A63-0E58-4CA3-3AB5-9667B29C7E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114299</xdr:colOff>
      <xdr:row>24</xdr:row>
      <xdr:rowOff>42861</xdr:rowOff>
    </xdr:from>
    <xdr:to>
      <xdr:col>8</xdr:col>
      <xdr:colOff>438149</xdr:colOff>
      <xdr:row>60</xdr:row>
      <xdr:rowOff>95250</xdr:rowOff>
    </xdr:to>
    <xdr:graphicFrame macro="">
      <xdr:nvGraphicFramePr>
        <xdr:cNvPr id="6" name="Gráfico 5">
          <a:extLst>
            <a:ext uri="{FF2B5EF4-FFF2-40B4-BE49-F238E27FC236}">
              <a16:creationId xmlns:a16="http://schemas.microsoft.com/office/drawing/2014/main" id="{D65DAE4A-9508-34B3-5B9C-DC2AE589FE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903270</xdr:colOff>
      <xdr:row>74</xdr:row>
      <xdr:rowOff>94609</xdr:rowOff>
    </xdr:from>
    <xdr:to>
      <xdr:col>20</xdr:col>
      <xdr:colOff>188360</xdr:colOff>
      <xdr:row>88</xdr:row>
      <xdr:rowOff>140842</xdr:rowOff>
    </xdr:to>
    <xdr:graphicFrame macro="">
      <xdr:nvGraphicFramePr>
        <xdr:cNvPr id="2" name="Gráfico 1">
          <a:extLst>
            <a:ext uri="{FF2B5EF4-FFF2-40B4-BE49-F238E27FC236}">
              <a16:creationId xmlns:a16="http://schemas.microsoft.com/office/drawing/2014/main" id="{284872D6-DB76-4684-9DCB-0B3C84FF4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378859</xdr:colOff>
      <xdr:row>75</xdr:row>
      <xdr:rowOff>105310</xdr:rowOff>
    </xdr:from>
    <xdr:to>
      <xdr:col>23</xdr:col>
      <xdr:colOff>562938</xdr:colOff>
      <xdr:row>89</xdr:row>
      <xdr:rowOff>151544</xdr:rowOff>
    </xdr:to>
    <xdr:graphicFrame macro="">
      <xdr:nvGraphicFramePr>
        <xdr:cNvPr id="3" name="Gráfico 2">
          <a:extLst>
            <a:ext uri="{FF2B5EF4-FFF2-40B4-BE49-F238E27FC236}">
              <a16:creationId xmlns:a16="http://schemas.microsoft.com/office/drawing/2014/main" id="{8CD0B126-9445-4D4C-89FD-D027ADDB1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1673831</xdr:colOff>
      <xdr:row>76</xdr:row>
      <xdr:rowOff>83906</xdr:rowOff>
    </xdr:from>
    <xdr:to>
      <xdr:col>34</xdr:col>
      <xdr:colOff>991027</xdr:colOff>
      <xdr:row>90</xdr:row>
      <xdr:rowOff>130139</xdr:rowOff>
    </xdr:to>
    <xdr:graphicFrame macro="">
      <xdr:nvGraphicFramePr>
        <xdr:cNvPr id="4" name="Gráfico 3">
          <a:extLst>
            <a:ext uri="{FF2B5EF4-FFF2-40B4-BE49-F238E27FC236}">
              <a16:creationId xmlns:a16="http://schemas.microsoft.com/office/drawing/2014/main" id="{ACB075AF-985C-4CB8-A3C3-44E82E6EB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209549</xdr:colOff>
      <xdr:row>1</xdr:row>
      <xdr:rowOff>76200</xdr:rowOff>
    </xdr:from>
    <xdr:to>
      <xdr:col>20</xdr:col>
      <xdr:colOff>276224</xdr:colOff>
      <xdr:row>16</xdr:row>
      <xdr:rowOff>76200</xdr:rowOff>
    </xdr:to>
    <xdr:graphicFrame macro="">
      <xdr:nvGraphicFramePr>
        <xdr:cNvPr id="2" name="Gráfico 1">
          <a:extLst>
            <a:ext uri="{FF2B5EF4-FFF2-40B4-BE49-F238E27FC236}">
              <a16:creationId xmlns:a16="http://schemas.microsoft.com/office/drawing/2014/main" id="{2041CC10-32FE-4B48-BE13-66084267A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247649</xdr:colOff>
      <xdr:row>16</xdr:row>
      <xdr:rowOff>223836</xdr:rowOff>
    </xdr:from>
    <xdr:to>
      <xdr:col>22</xdr:col>
      <xdr:colOff>238124</xdr:colOff>
      <xdr:row>37</xdr:row>
      <xdr:rowOff>47624</xdr:rowOff>
    </xdr:to>
    <xdr:graphicFrame macro="">
      <xdr:nvGraphicFramePr>
        <xdr:cNvPr id="3" name="Gráfico 2">
          <a:extLst>
            <a:ext uri="{FF2B5EF4-FFF2-40B4-BE49-F238E27FC236}">
              <a16:creationId xmlns:a16="http://schemas.microsoft.com/office/drawing/2014/main" id="{0D1818B5-5618-4CC2-BCEC-930CB4EEF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1462085</xdr:colOff>
      <xdr:row>26</xdr:row>
      <xdr:rowOff>85724</xdr:rowOff>
    </xdr:from>
    <xdr:to>
      <xdr:col>6</xdr:col>
      <xdr:colOff>895349</xdr:colOff>
      <xdr:row>55</xdr:row>
      <xdr:rowOff>57150</xdr:rowOff>
    </xdr:to>
    <xdr:graphicFrame macro="">
      <xdr:nvGraphicFramePr>
        <xdr:cNvPr id="4" name="Gráfico 3">
          <a:extLst>
            <a:ext uri="{FF2B5EF4-FFF2-40B4-BE49-F238E27FC236}">
              <a16:creationId xmlns:a16="http://schemas.microsoft.com/office/drawing/2014/main" id="{256B5F62-EB6B-37BC-BAD5-74E5334D69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50</xdr:row>
      <xdr:rowOff>0</xdr:rowOff>
    </xdr:from>
    <xdr:to>
      <xdr:col>5</xdr:col>
      <xdr:colOff>675251</xdr:colOff>
      <xdr:row>63</xdr:row>
      <xdr:rowOff>174522</xdr:rowOff>
    </xdr:to>
    <xdr:graphicFrame macro="">
      <xdr:nvGraphicFramePr>
        <xdr:cNvPr id="2" name="Gráfico 1">
          <a:extLst>
            <a:ext uri="{FF2B5EF4-FFF2-40B4-BE49-F238E27FC236}">
              <a16:creationId xmlns:a16="http://schemas.microsoft.com/office/drawing/2014/main" id="{773B6501-6F8F-46CF-8FD0-DC7E781E9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51</xdr:row>
      <xdr:rowOff>0</xdr:rowOff>
    </xdr:from>
    <xdr:to>
      <xdr:col>14</xdr:col>
      <xdr:colOff>938571</xdr:colOff>
      <xdr:row>64</xdr:row>
      <xdr:rowOff>174522</xdr:rowOff>
    </xdr:to>
    <xdr:graphicFrame macro="">
      <xdr:nvGraphicFramePr>
        <xdr:cNvPr id="3" name="Gráfico 2">
          <a:extLst>
            <a:ext uri="{FF2B5EF4-FFF2-40B4-BE49-F238E27FC236}">
              <a16:creationId xmlns:a16="http://schemas.microsoft.com/office/drawing/2014/main" id="{E6BD15F5-F79A-49EC-9440-5D6700317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161925</xdr:rowOff>
    </xdr:from>
    <xdr:to>
      <xdr:col>0</xdr:col>
      <xdr:colOff>1552575</xdr:colOff>
      <xdr:row>4</xdr:row>
      <xdr:rowOff>71621</xdr:rowOff>
    </xdr:to>
    <xdr:pic>
      <xdr:nvPicPr>
        <xdr:cNvPr id="2" name="Imagen 1">
          <a:extLst>
            <a:ext uri="{FF2B5EF4-FFF2-40B4-BE49-F238E27FC236}">
              <a16:creationId xmlns:a16="http://schemas.microsoft.com/office/drawing/2014/main" id="{E5E1F089-0512-470F-925D-945E2C2C9083}"/>
            </a:ext>
          </a:extLst>
        </xdr:cNvPr>
        <xdr:cNvPicPr>
          <a:picLocks noChangeAspect="1"/>
        </xdr:cNvPicPr>
      </xdr:nvPicPr>
      <xdr:blipFill>
        <a:blip xmlns:r="http://schemas.openxmlformats.org/officeDocument/2006/relationships" r:embed="rId1"/>
        <a:stretch>
          <a:fillRect/>
        </a:stretch>
      </xdr:blipFill>
      <xdr:spPr>
        <a:xfrm>
          <a:off x="38100" y="161925"/>
          <a:ext cx="1514475" cy="6716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638174</xdr:colOff>
      <xdr:row>7</xdr:row>
      <xdr:rowOff>61910</xdr:rowOff>
    </xdr:from>
    <xdr:to>
      <xdr:col>5</xdr:col>
      <xdr:colOff>85725</xdr:colOff>
      <xdr:row>36</xdr:row>
      <xdr:rowOff>19049</xdr:rowOff>
    </xdr:to>
    <xdr:graphicFrame macro="">
      <xdr:nvGraphicFramePr>
        <xdr:cNvPr id="5" name="Gráfico 4">
          <a:extLst>
            <a:ext uri="{FF2B5EF4-FFF2-40B4-BE49-F238E27FC236}">
              <a16:creationId xmlns:a16="http://schemas.microsoft.com/office/drawing/2014/main" id="{44D53D63-F991-5634-007F-C03F6B5F0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1066799</xdr:colOff>
      <xdr:row>6</xdr:row>
      <xdr:rowOff>157161</xdr:rowOff>
    </xdr:from>
    <xdr:to>
      <xdr:col>15</xdr:col>
      <xdr:colOff>247649</xdr:colOff>
      <xdr:row>23</xdr:row>
      <xdr:rowOff>180975</xdr:rowOff>
    </xdr:to>
    <xdr:graphicFrame macro="">
      <xdr:nvGraphicFramePr>
        <xdr:cNvPr id="9" name="Gráfico 8">
          <a:extLst>
            <a:ext uri="{FF2B5EF4-FFF2-40B4-BE49-F238E27FC236}">
              <a16:creationId xmlns:a16="http://schemas.microsoft.com/office/drawing/2014/main" id="{3E444FC3-EEF9-27C6-17D3-51564AC42C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238124</xdr:rowOff>
    </xdr:to>
    <xdr:pic>
      <xdr:nvPicPr>
        <xdr:cNvPr id="4" name="Imagen 3">
          <a:extLst>
            <a:ext uri="{FF2B5EF4-FFF2-40B4-BE49-F238E27FC236}">
              <a16:creationId xmlns:a16="http://schemas.microsoft.com/office/drawing/2014/main" id="{E09BA514-E9FC-45A7-83D9-8A951F9403B9}"/>
            </a:ext>
          </a:extLst>
        </xdr:cNvPr>
        <xdr:cNvPicPr>
          <a:picLocks noChangeAspect="1"/>
        </xdr:cNvPicPr>
      </xdr:nvPicPr>
      <xdr:blipFill>
        <a:blip xmlns:r="http://schemas.openxmlformats.org/officeDocument/2006/relationships" r:embed="rId1" cstate="print"/>
        <a:stretch>
          <a:fillRect/>
        </a:stretch>
      </xdr:blipFill>
      <xdr:spPr>
        <a:xfrm>
          <a:off x="0" y="0"/>
          <a:ext cx="2057400" cy="9810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1</xdr:row>
      <xdr:rowOff>552449</xdr:rowOff>
    </xdr:to>
    <xdr:pic>
      <xdr:nvPicPr>
        <xdr:cNvPr id="3" name="Imagen 2">
          <a:extLst>
            <a:ext uri="{FF2B5EF4-FFF2-40B4-BE49-F238E27FC236}">
              <a16:creationId xmlns:a16="http://schemas.microsoft.com/office/drawing/2014/main" id="{BA2B1481-560A-465D-B9DC-85D93A6883B9}"/>
            </a:ext>
          </a:extLst>
        </xdr:cNvPr>
        <xdr:cNvPicPr>
          <a:picLocks noChangeAspect="1"/>
        </xdr:cNvPicPr>
      </xdr:nvPicPr>
      <xdr:blipFill>
        <a:blip xmlns:r="http://schemas.openxmlformats.org/officeDocument/2006/relationships" r:embed="rId1" cstate="print"/>
        <a:stretch>
          <a:fillRect/>
        </a:stretch>
      </xdr:blipFill>
      <xdr:spPr>
        <a:xfrm>
          <a:off x="0" y="0"/>
          <a:ext cx="2057400" cy="9429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2314574</xdr:colOff>
      <xdr:row>3</xdr:row>
      <xdr:rowOff>0</xdr:rowOff>
    </xdr:to>
    <xdr:pic>
      <xdr:nvPicPr>
        <xdr:cNvPr id="2" name="Imagen 1">
          <a:extLst>
            <a:ext uri="{FF2B5EF4-FFF2-40B4-BE49-F238E27FC236}">
              <a16:creationId xmlns:a16="http://schemas.microsoft.com/office/drawing/2014/main" id="{4B54D88F-228D-45BB-B08A-AAA9FD06172F}"/>
            </a:ext>
          </a:extLst>
        </xdr:cNvPr>
        <xdr:cNvPicPr>
          <a:picLocks noChangeAspect="1"/>
        </xdr:cNvPicPr>
      </xdr:nvPicPr>
      <xdr:blipFill>
        <a:blip xmlns:r="http://schemas.openxmlformats.org/officeDocument/2006/relationships" r:embed="rId1" cstate="print"/>
        <a:stretch>
          <a:fillRect/>
        </a:stretch>
      </xdr:blipFill>
      <xdr:spPr>
        <a:xfrm>
          <a:off x="0" y="0"/>
          <a:ext cx="2314574" cy="1066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225826</xdr:rowOff>
    </xdr:from>
    <xdr:to>
      <xdr:col>0</xdr:col>
      <xdr:colOff>981310</xdr:colOff>
      <xdr:row>2</xdr:row>
      <xdr:rowOff>177252</xdr:rowOff>
    </xdr:to>
    <xdr:pic>
      <xdr:nvPicPr>
        <xdr:cNvPr id="2" name="Imagen 1">
          <a:extLst>
            <a:ext uri="{FF2B5EF4-FFF2-40B4-BE49-F238E27FC236}">
              <a16:creationId xmlns:a16="http://schemas.microsoft.com/office/drawing/2014/main" id="{6A91D4A2-7000-4E4A-8507-C9B6D3DEF0B7}"/>
            </a:ext>
          </a:extLst>
        </xdr:cNvPr>
        <xdr:cNvPicPr>
          <a:picLocks noChangeAspect="1"/>
        </xdr:cNvPicPr>
      </xdr:nvPicPr>
      <xdr:blipFill>
        <a:blip xmlns:r="http://schemas.openxmlformats.org/officeDocument/2006/relationships" r:embed="rId1" cstate="print"/>
        <a:stretch>
          <a:fillRect/>
        </a:stretch>
      </xdr:blipFill>
      <xdr:spPr>
        <a:xfrm>
          <a:off x="0" y="225826"/>
          <a:ext cx="981310" cy="370526"/>
        </a:xfrm>
        <a:prstGeom prst="rect">
          <a:avLst/>
        </a:prstGeom>
      </xdr:spPr>
    </xdr:pic>
    <xdr:clientData/>
  </xdr:twoCellAnchor>
  <xdr:twoCellAnchor editAs="oneCell">
    <xdr:from>
      <xdr:col>0</xdr:col>
      <xdr:colOff>0</xdr:colOff>
      <xdr:row>0</xdr:row>
      <xdr:rowOff>103429</xdr:rowOff>
    </xdr:from>
    <xdr:to>
      <xdr:col>0</xdr:col>
      <xdr:colOff>1962263</xdr:colOff>
      <xdr:row>3</xdr:row>
      <xdr:rowOff>0</xdr:rowOff>
    </xdr:to>
    <xdr:pic>
      <xdr:nvPicPr>
        <xdr:cNvPr id="3" name="Imagen 2">
          <a:extLst>
            <a:ext uri="{FF2B5EF4-FFF2-40B4-BE49-F238E27FC236}">
              <a16:creationId xmlns:a16="http://schemas.microsoft.com/office/drawing/2014/main" id="{8A146DA9-687A-42B4-8418-3AB53920A26C}"/>
            </a:ext>
          </a:extLst>
        </xdr:cNvPr>
        <xdr:cNvPicPr>
          <a:picLocks noChangeAspect="1"/>
        </xdr:cNvPicPr>
      </xdr:nvPicPr>
      <xdr:blipFill>
        <a:blip xmlns:r="http://schemas.openxmlformats.org/officeDocument/2006/relationships" r:embed="rId1" cstate="print"/>
        <a:stretch>
          <a:fillRect/>
        </a:stretch>
      </xdr:blipFill>
      <xdr:spPr>
        <a:xfrm>
          <a:off x="0" y="103429"/>
          <a:ext cx="1962263" cy="9633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2105025</xdr:colOff>
      <xdr:row>2</xdr:row>
      <xdr:rowOff>304800</xdr:rowOff>
    </xdr:to>
    <xdr:pic>
      <xdr:nvPicPr>
        <xdr:cNvPr id="2" name="Imagen 1">
          <a:extLst>
            <a:ext uri="{FF2B5EF4-FFF2-40B4-BE49-F238E27FC236}">
              <a16:creationId xmlns:a16="http://schemas.microsoft.com/office/drawing/2014/main" id="{59012FE9-1B8A-41F0-B713-3FFBEBFF4D65}"/>
            </a:ext>
          </a:extLst>
        </xdr:cNvPr>
        <xdr:cNvPicPr>
          <a:picLocks noChangeAspect="1"/>
        </xdr:cNvPicPr>
      </xdr:nvPicPr>
      <xdr:blipFill>
        <a:blip xmlns:r="http://schemas.openxmlformats.org/officeDocument/2006/relationships" r:embed="rId1" cstate="print"/>
        <a:stretch>
          <a:fillRect/>
        </a:stretch>
      </xdr:blipFill>
      <xdr:spPr>
        <a:xfrm>
          <a:off x="0" y="0"/>
          <a:ext cx="2105025" cy="10477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xdr:colOff>
      <xdr:row>3</xdr:row>
      <xdr:rowOff>2459</xdr:rowOff>
    </xdr:to>
    <xdr:pic>
      <xdr:nvPicPr>
        <xdr:cNvPr id="2" name="Imagen 1">
          <a:extLst>
            <a:ext uri="{FF2B5EF4-FFF2-40B4-BE49-F238E27FC236}">
              <a16:creationId xmlns:a16="http://schemas.microsoft.com/office/drawing/2014/main" id="{625B6F21-AD66-45D2-8951-E2BACB220826}"/>
            </a:ext>
          </a:extLst>
        </xdr:cNvPr>
        <xdr:cNvPicPr>
          <a:picLocks noChangeAspect="1"/>
        </xdr:cNvPicPr>
      </xdr:nvPicPr>
      <xdr:blipFill>
        <a:blip xmlns:r="http://schemas.openxmlformats.org/officeDocument/2006/relationships" r:embed="rId1" cstate="print"/>
        <a:stretch>
          <a:fillRect/>
        </a:stretch>
      </xdr:blipFill>
      <xdr:spPr>
        <a:xfrm>
          <a:off x="0" y="0"/>
          <a:ext cx="1762126" cy="10629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1</xdr:row>
      <xdr:rowOff>190500</xdr:rowOff>
    </xdr:to>
    <xdr:pic>
      <xdr:nvPicPr>
        <xdr:cNvPr id="2" name="Imagen 1">
          <a:extLst>
            <a:ext uri="{FF2B5EF4-FFF2-40B4-BE49-F238E27FC236}">
              <a16:creationId xmlns:a16="http://schemas.microsoft.com/office/drawing/2014/main" id="{478796DF-20C9-426A-A127-682BA8369D22}"/>
            </a:ext>
          </a:extLst>
        </xdr:cNvPr>
        <xdr:cNvPicPr>
          <a:picLocks noChangeAspect="1"/>
        </xdr:cNvPicPr>
      </xdr:nvPicPr>
      <xdr:blipFill>
        <a:blip xmlns:r="http://schemas.openxmlformats.org/officeDocument/2006/relationships" r:embed="rId1" cstate="print"/>
        <a:stretch>
          <a:fillRect/>
        </a:stretch>
      </xdr:blipFill>
      <xdr:spPr>
        <a:xfrm>
          <a:off x="0" y="0"/>
          <a:ext cx="2057400" cy="581025"/>
        </a:xfrm>
        <a:prstGeom prst="rect">
          <a:avLst/>
        </a:prstGeom>
      </xdr:spPr>
    </xdr:pic>
    <xdr:clientData/>
  </xdr:twoCellAnchor>
  <xdr:twoCellAnchor editAs="oneCell">
    <xdr:from>
      <xdr:col>0</xdr:col>
      <xdr:colOff>0</xdr:colOff>
      <xdr:row>0</xdr:row>
      <xdr:rowOff>13416</xdr:rowOff>
    </xdr:from>
    <xdr:to>
      <xdr:col>0</xdr:col>
      <xdr:colOff>2116294</xdr:colOff>
      <xdr:row>2</xdr:row>
      <xdr:rowOff>214648</xdr:rowOff>
    </xdr:to>
    <xdr:pic>
      <xdr:nvPicPr>
        <xdr:cNvPr id="3" name="Imagen 2">
          <a:extLst>
            <a:ext uri="{FF2B5EF4-FFF2-40B4-BE49-F238E27FC236}">
              <a16:creationId xmlns:a16="http://schemas.microsoft.com/office/drawing/2014/main" id="{7A48140F-7D2A-4F6C-9F74-8070254EF0AE}"/>
            </a:ext>
          </a:extLst>
        </xdr:cNvPr>
        <xdr:cNvPicPr>
          <a:picLocks noChangeAspect="1"/>
        </xdr:cNvPicPr>
      </xdr:nvPicPr>
      <xdr:blipFill>
        <a:blip xmlns:r="http://schemas.openxmlformats.org/officeDocument/2006/relationships" r:embed="rId1" cstate="print"/>
        <a:stretch>
          <a:fillRect/>
        </a:stretch>
      </xdr:blipFill>
      <xdr:spPr>
        <a:xfrm>
          <a:off x="93908" y="13416"/>
          <a:ext cx="2116294" cy="94418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13416</xdr:rowOff>
    </xdr:from>
    <xdr:to>
      <xdr:col>0</xdr:col>
      <xdr:colOff>1885950</xdr:colOff>
      <xdr:row>2</xdr:row>
      <xdr:rowOff>314325</xdr:rowOff>
    </xdr:to>
    <xdr:pic>
      <xdr:nvPicPr>
        <xdr:cNvPr id="2" name="Imagen 1">
          <a:extLst>
            <a:ext uri="{FF2B5EF4-FFF2-40B4-BE49-F238E27FC236}">
              <a16:creationId xmlns:a16="http://schemas.microsoft.com/office/drawing/2014/main" id="{42868555-9DC3-4E57-B4A8-F132EAA59CF7}"/>
            </a:ext>
          </a:extLst>
        </xdr:cNvPr>
        <xdr:cNvPicPr>
          <a:picLocks noChangeAspect="1"/>
        </xdr:cNvPicPr>
      </xdr:nvPicPr>
      <xdr:blipFill>
        <a:blip xmlns:r="http://schemas.openxmlformats.org/officeDocument/2006/relationships" r:embed="rId1" cstate="print"/>
        <a:stretch>
          <a:fillRect/>
        </a:stretch>
      </xdr:blipFill>
      <xdr:spPr>
        <a:xfrm>
          <a:off x="0" y="13416"/>
          <a:ext cx="1885950" cy="10438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828675</xdr:colOff>
      <xdr:row>31</xdr:row>
      <xdr:rowOff>166686</xdr:rowOff>
    </xdr:from>
    <xdr:to>
      <xdr:col>9</xdr:col>
      <xdr:colOff>1609725</xdr:colOff>
      <xdr:row>48</xdr:row>
      <xdr:rowOff>171449</xdr:rowOff>
    </xdr:to>
    <xdr:graphicFrame macro="">
      <xdr:nvGraphicFramePr>
        <xdr:cNvPr id="2" name="Gráfico 1">
          <a:extLst>
            <a:ext uri="{FF2B5EF4-FFF2-40B4-BE49-F238E27FC236}">
              <a16:creationId xmlns:a16="http://schemas.microsoft.com/office/drawing/2014/main" id="{F2942045-4B4E-4BE7-9264-CFAC82356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95250</xdr:colOff>
      <xdr:row>2</xdr:row>
      <xdr:rowOff>39610</xdr:rowOff>
    </xdr:from>
    <xdr:to>
      <xdr:col>19</xdr:col>
      <xdr:colOff>200026</xdr:colOff>
      <xdr:row>11</xdr:row>
      <xdr:rowOff>122318</xdr:rowOff>
    </xdr:to>
    <xdr:graphicFrame macro="">
      <xdr:nvGraphicFramePr>
        <xdr:cNvPr id="3" name="Gráfico 2">
          <a:extLst>
            <a:ext uri="{FF2B5EF4-FFF2-40B4-BE49-F238E27FC236}">
              <a16:creationId xmlns:a16="http://schemas.microsoft.com/office/drawing/2014/main" id="{4F5BBD97-27F9-495F-AF8C-753742D1D2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57868</xdr:colOff>
      <xdr:row>13</xdr:row>
      <xdr:rowOff>3481</xdr:rowOff>
    </xdr:from>
    <xdr:to>
      <xdr:col>19</xdr:col>
      <xdr:colOff>225323</xdr:colOff>
      <xdr:row>26</xdr:row>
      <xdr:rowOff>62629</xdr:rowOff>
    </xdr:to>
    <xdr:graphicFrame macro="">
      <xdr:nvGraphicFramePr>
        <xdr:cNvPr id="5" name="Gráfico 4">
          <a:extLst>
            <a:ext uri="{FF2B5EF4-FFF2-40B4-BE49-F238E27FC236}">
              <a16:creationId xmlns:a16="http://schemas.microsoft.com/office/drawing/2014/main" id="{BC80054C-4DF4-4312-9D44-D3F0D17C1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uerta\Desktop\PLAN%20DE%20ADQUISICION\POAI%202021\Plantilla%20de%20presupuesto%20vigencia%202021%20antigua%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EACION\Desktop\PLANEACION\PLANEACI&#211;N%202022\PLANEACI&#211;N%202022\SEGUIMIENTO%20PLAN%20DE%20DESARROLLO%202022\INFORMACI&#211;N%20PARA%20SEGUIMIENTO%20DEL%20PDI-POAI\DICIEMBRE%2031\FORMATO%20CONSOLIDACI&#211;N30%20DE%20DICIEMBR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PLANEACION\Desktop\PLANEACION\PLANEACION%202023\PLANEACION\POAI%202023\TATIANA-costos-POAI\POAI%202023.xlsx" TargetMode="External"/><Relationship Id="rId1" Type="http://schemas.openxmlformats.org/officeDocument/2006/relationships/externalLinkPath" Target="file:///C:\Users\PLANEACION\Desktop\PLANEACION\PLANEACION%202023\PLANEACION\SEGUIMIENTO%20AL%20POAI%20-PDI\OJO-POAI%202023%20-SEGUIMIENTO\POAI%202023\TATIANA-costos-POAI\POAI%202023.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C:\Users\PLANEACION\Desktop\PLANEACION\PLANEACI&#211;N%202022\PLANEACI&#211;N%202022\SEGUIMIENTO%20PLAN%20DE%20DESARROLLO%202022\INFORMACI&#211;N%20PARA%20SEGUIMIENTO%20DEL%20PDI-POAI\DICIEMBRE%2031\DR.HJGYPLAN%20OPERATIVO%20ANUAL%20DE%20INVERSIONES-31-12-2021.xlsx?21AD325D" TargetMode="External"/><Relationship Id="rId1" Type="http://schemas.openxmlformats.org/officeDocument/2006/relationships/externalLinkPath" Target="file:///\\21AD325D\DR.HJGYPLAN%20OPERATIVO%20ANUAL%20DE%20INVERSIONES-31-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Información general"/>
      <sheetName val="Datos seguridad social"/>
      <sheetName val="Cálculos seguridad social"/>
      <sheetName val="Proyeccion de Planta de cargos"/>
      <sheetName val="Jubilados"/>
      <sheetName val="Datos a presupuestar"/>
      <sheetName val="Datos de desfinanciación"/>
      <sheetName val="Presupuesto equilibrado"/>
      <sheetName val="Certificado de mantenimient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I 2021"/>
      <sheetName val="consolidado"/>
      <sheetName val="4 TRIMESTRE"/>
      <sheetName val="PLAN DE GESTIÓN 2021"/>
      <sheetName val="seguimientos"/>
      <sheetName val="informe a junio.PDI"/>
      <sheetName val="RESUMEN"/>
      <sheetName val="TRIMETRES POAI"/>
      <sheetName val="AVANCE DEL PLAN"/>
      <sheetName val="JUAN CAMILO"/>
      <sheetName val="GRAFICOS POAI"/>
    </sheetNames>
    <sheetDataSet>
      <sheetData sheetId="0"/>
      <sheetData sheetId="1"/>
      <sheetData sheetId="2">
        <row r="65">
          <cell r="Y65" t="str">
            <v>% CUMPLIMIENTO PRIMER TRIMESTRE</v>
          </cell>
          <cell r="AB65" t="str">
            <v>% CUMPLIMIENTO SEGUNDO  TRIMESTRE</v>
          </cell>
          <cell r="AE65" t="str">
            <v>% CUMPLIMIENTO TERCER TRIMESTRE</v>
          </cell>
          <cell r="AJ65" t="str">
            <v>% CUMPLIMIENTO CUARTO TRIMESTRE</v>
          </cell>
          <cell r="AK65" t="str">
            <v>TOTAL ACTIVIDADES PROGRADAS AÑO</v>
          </cell>
          <cell r="AL65" t="str">
            <v>TOTAL ACTIVIDADES EJECUTADAS  AÑO</v>
          </cell>
          <cell r="AM65" t="str">
            <v>TOTAL CUMPLIMIENTO DE ACTIVIDADES -AÑO</v>
          </cell>
        </row>
        <row r="66">
          <cell r="Y66">
            <v>126.67928098391674</v>
          </cell>
          <cell r="AB66">
            <v>105.66411781365052</v>
          </cell>
          <cell r="AE66">
            <v>91.409574468085111</v>
          </cell>
          <cell r="AJ66">
            <v>67.821950390757735</v>
          </cell>
          <cell r="AK66">
            <v>12348</v>
          </cell>
          <cell r="AL66">
            <v>11842</v>
          </cell>
          <cell r="AM66">
            <v>95.902170391966308</v>
          </cell>
        </row>
      </sheetData>
      <sheetData sheetId="3"/>
      <sheetData sheetId="4"/>
      <sheetData sheetId="5"/>
      <sheetData sheetId="6"/>
      <sheetData sheetId="7">
        <row r="65">
          <cell r="V65" t="str">
            <v>ACTIVIDADES PROGRAMADAS AÑO</v>
          </cell>
          <cell r="W65" t="str">
            <v>ACTIVIDADES PROGRAMADAS  TERCER TRIMESTRE</v>
          </cell>
          <cell r="X65" t="str">
            <v>ACTIVIDADES EJECUTADAS TERCER TRIMESTRE</v>
          </cell>
          <cell r="Y65" t="str">
            <v>% CUMPLIMIENTO TERCER TRIMESTRE</v>
          </cell>
          <cell r="Z65" t="str">
            <v>TOTAL ACTIVIDADES PROGRAMADAS AL TRIMESTRES</v>
          </cell>
          <cell r="AA65" t="str">
            <v>TOTAL EJECUTADAS  AL TERCER TRIMESTRE</v>
          </cell>
          <cell r="AG65" t="str">
            <v>TOTAL CUMPLIMIENTO DE ACTIVIDADES -AÑO</v>
          </cell>
        </row>
        <row r="66">
          <cell r="V66">
            <v>12431</v>
          </cell>
          <cell r="W66">
            <v>3763</v>
          </cell>
          <cell r="X66">
            <v>3430</v>
          </cell>
          <cell r="Y66">
            <v>91.150677650810522</v>
          </cell>
          <cell r="Z66">
            <v>9468</v>
          </cell>
          <cell r="AA66">
            <v>10973</v>
          </cell>
          <cell r="AG66">
            <v>104.77226924627165</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S"/>
      <sheetName val="2022"/>
      <sheetName val="Linea 1"/>
      <sheetName val="Linea 2"/>
      <sheetName val="Linea 3"/>
      <sheetName val="Linea 4"/>
      <sheetName val="Linea 5"/>
      <sheetName val="Linea 6"/>
      <sheetName val="Linea 7"/>
      <sheetName val="Linea 8"/>
      <sheetName val="Resumen"/>
      <sheetName val="Seguimiento a facturas"/>
      <sheetName val="Sindicatos"/>
      <sheetName val="Hoja2"/>
      <sheetName val="para dañar"/>
    </sheetNames>
    <sheetDataSet>
      <sheetData sheetId="0"/>
      <sheetData sheetId="1"/>
      <sheetData sheetId="2">
        <row r="31">
          <cell r="H31">
            <v>321376229</v>
          </cell>
          <cell r="L31">
            <v>156871871</v>
          </cell>
          <cell r="P31">
            <v>368865413</v>
          </cell>
          <cell r="T31">
            <v>311199305</v>
          </cell>
        </row>
        <row r="40">
          <cell r="H40">
            <v>21466667</v>
          </cell>
          <cell r="L40">
            <v>18000000</v>
          </cell>
          <cell r="P40">
            <v>28276599.379999999</v>
          </cell>
          <cell r="T40">
            <v>25500000</v>
          </cell>
        </row>
        <row r="51">
          <cell r="H51">
            <v>25466667</v>
          </cell>
          <cell r="L51">
            <v>27750000</v>
          </cell>
          <cell r="P51">
            <v>27750000</v>
          </cell>
          <cell r="T51">
            <v>27750000</v>
          </cell>
        </row>
        <row r="54">
          <cell r="U54">
            <v>1360272751.3800001</v>
          </cell>
        </row>
      </sheetData>
      <sheetData sheetId="3">
        <row r="31">
          <cell r="H31">
            <v>1014608247.7275001</v>
          </cell>
          <cell r="L31">
            <v>1006231345.7275001</v>
          </cell>
          <cell r="P31">
            <v>1191623084.5973752</v>
          </cell>
          <cell r="T31">
            <v>1272672465.3709252</v>
          </cell>
        </row>
        <row r="102">
          <cell r="H102">
            <v>13150413806.18</v>
          </cell>
          <cell r="L102">
            <v>18380294030.18</v>
          </cell>
          <cell r="P102">
            <v>16895890730.408001</v>
          </cell>
          <cell r="T102">
            <v>16245282842.464001</v>
          </cell>
        </row>
        <row r="105">
          <cell r="U105">
            <v>69157016552.655304</v>
          </cell>
        </row>
      </sheetData>
      <sheetData sheetId="4">
        <row r="141">
          <cell r="H141">
            <v>13900940552.440001</v>
          </cell>
          <cell r="L141">
            <v>15686932811.440001</v>
          </cell>
          <cell r="P141">
            <v>14706964838.648001</v>
          </cell>
          <cell r="T141">
            <v>15006056853.360001</v>
          </cell>
        </row>
        <row r="198">
          <cell r="H198">
            <v>5773190812</v>
          </cell>
          <cell r="L198">
            <v>7139718093.2306252</v>
          </cell>
          <cell r="P198">
            <v>7384624418.2878122</v>
          </cell>
          <cell r="T198">
            <v>7715415226.8640003</v>
          </cell>
        </row>
        <row r="201">
          <cell r="U201">
            <v>87313843606.270447</v>
          </cell>
        </row>
      </sheetData>
      <sheetData sheetId="5">
        <row r="8">
          <cell r="H8">
            <v>15355109</v>
          </cell>
          <cell r="L8">
            <v>36133873.879999995</v>
          </cell>
          <cell r="P8">
            <v>37338908.68</v>
          </cell>
          <cell r="T8">
            <v>41001001.68</v>
          </cell>
        </row>
        <row r="48">
          <cell r="H48">
            <v>256789261.06799999</v>
          </cell>
          <cell r="L48">
            <v>419033158.74000001</v>
          </cell>
          <cell r="P48">
            <v>466501266.06800002</v>
          </cell>
          <cell r="T48">
            <v>495113402.45920002</v>
          </cell>
        </row>
        <row r="71">
          <cell r="H71">
            <v>241245491</v>
          </cell>
          <cell r="L71">
            <v>542709618</v>
          </cell>
          <cell r="P71">
            <v>726904535</v>
          </cell>
          <cell r="T71">
            <v>496888517</v>
          </cell>
        </row>
        <row r="74">
          <cell r="U74">
            <v>3775014142.5752001</v>
          </cell>
        </row>
      </sheetData>
      <sheetData sheetId="6">
        <row r="14">
          <cell r="H14">
            <v>42413923</v>
          </cell>
          <cell r="L14">
            <v>67489118</v>
          </cell>
          <cell r="P14">
            <v>90048136</v>
          </cell>
          <cell r="T14">
            <v>46787800</v>
          </cell>
        </row>
        <row r="26">
          <cell r="H26">
            <v>47068653.239999995</v>
          </cell>
          <cell r="L26">
            <v>47068653.239999995</v>
          </cell>
          <cell r="P26">
            <v>44267850.339999996</v>
          </cell>
          <cell r="T26">
            <v>33762697.340000004</v>
          </cell>
        </row>
        <row r="28">
          <cell r="U28">
            <v>418906831.15999997</v>
          </cell>
        </row>
      </sheetData>
      <sheetData sheetId="7">
        <row r="2">
          <cell r="H2">
            <v>39550392</v>
          </cell>
          <cell r="L2">
            <v>39550392</v>
          </cell>
          <cell r="P2">
            <v>39550392</v>
          </cell>
          <cell r="T2">
            <v>39550392</v>
          </cell>
          <cell r="U2">
            <v>158201568</v>
          </cell>
        </row>
      </sheetData>
      <sheetData sheetId="8">
        <row r="13">
          <cell r="H13">
            <v>62073375</v>
          </cell>
          <cell r="L13">
            <v>83518288</v>
          </cell>
          <cell r="P13">
            <v>112665341</v>
          </cell>
          <cell r="T13">
            <v>125453787</v>
          </cell>
          <cell r="U13">
            <v>383710791</v>
          </cell>
        </row>
      </sheetData>
      <sheetData sheetId="9">
        <row r="27">
          <cell r="H27">
            <v>98213476.019999996</v>
          </cell>
          <cell r="L27">
            <v>433145535.01999998</v>
          </cell>
          <cell r="P27">
            <v>108489246.62</v>
          </cell>
          <cell r="T27">
            <v>232001172.02000001</v>
          </cell>
          <cell r="U27">
            <v>871849429.67999995</v>
          </cell>
        </row>
      </sheetData>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I 2021 "/>
      <sheetName val="RESUMEN POAI 2021"/>
      <sheetName val="LINEA 1_x0009_SEGUIMIENTO DEL PLAN OP"/>
      <sheetName val="LINEA 2 SEGUIMIENTO DEL POAI"/>
      <sheetName val="LINEA3 SEGUIMIENTO DE POAI"/>
      <sheetName val="LINEA 4 SEGUIMIENTO DEL POAI"/>
      <sheetName val="LINEA5 SEGUIMIENTO POAI"/>
      <sheetName val="LINEA 6 SEGUIMIENTO DEL POAI"/>
      <sheetName val="LINEA7 SEGUIMIENTO DEL POAI "/>
      <sheetName val="LINEA8 SEGUIMIENTO DEL POAI"/>
      <sheetName val="RESUMEN LINEAS-POAI"/>
      <sheetName val="Hoja1"/>
    </sheetNames>
    <sheetDataSet>
      <sheetData sheetId="0"/>
      <sheetData sheetId="1">
        <row r="3">
          <cell r="D3" t="str">
            <v>TOTAL LINEA</v>
          </cell>
          <cell r="F3" t="str">
            <v xml:space="preserve">% LINEA SOBRE TOTAL PRESUPUESTO </v>
          </cell>
        </row>
        <row r="4">
          <cell r="A4" t="str">
            <v>Línea 1: Dirección estratégica para una gestión con responsabilidad</v>
          </cell>
          <cell r="D4">
            <v>1244579448</v>
          </cell>
          <cell r="F4">
            <v>0.65984139676375964</v>
          </cell>
        </row>
        <row r="5">
          <cell r="A5"/>
          <cell r="D5"/>
          <cell r="F5"/>
        </row>
        <row r="6">
          <cell r="A6"/>
          <cell r="D6"/>
          <cell r="F6"/>
        </row>
        <row r="7">
          <cell r="A7" t="str">
            <v>Línea 2: Gestión financiera y administrativa para el desarrollo sostenible</v>
          </cell>
          <cell r="D7">
            <v>58364277252</v>
          </cell>
          <cell r="F7">
            <v>30.943115993883101</v>
          </cell>
        </row>
        <row r="8">
          <cell r="A8"/>
          <cell r="D8"/>
          <cell r="F8"/>
        </row>
        <row r="9">
          <cell r="A9" t="str">
            <v>Línea 3: Gestión asistencial humanizada y equitativa</v>
          </cell>
          <cell r="D9">
            <v>124917601424</v>
          </cell>
          <cell r="F9">
            <v>66.227836829899815</v>
          </cell>
        </row>
        <row r="10">
          <cell r="A10"/>
          <cell r="D10"/>
          <cell r="F10"/>
        </row>
        <row r="11">
          <cell r="A11" t="str">
            <v>Línea 4: Enfoque de servicios por la vida</v>
          </cell>
          <cell r="D11">
            <v>1116129978</v>
          </cell>
          <cell r="F11">
            <v>0.59174106147816152</v>
          </cell>
        </row>
        <row r="12">
          <cell r="A12"/>
          <cell r="D12"/>
          <cell r="F12"/>
        </row>
        <row r="13">
          <cell r="A13"/>
          <cell r="D13"/>
          <cell r="F13"/>
        </row>
        <row r="14">
          <cell r="A14"/>
          <cell r="D14"/>
          <cell r="F14"/>
        </row>
        <row r="15">
          <cell r="A15" t="str">
            <v xml:space="preserve">	Línea 5: Compañía, amor y humanización al servicio de todos</v>
          </cell>
          <cell r="D15">
            <v>408050433</v>
          </cell>
          <cell r="F15">
            <v>0.21633698683796435</v>
          </cell>
        </row>
        <row r="16">
          <cell r="A16"/>
          <cell r="D16"/>
          <cell r="F16"/>
        </row>
        <row r="17">
          <cell r="A17" t="str">
            <v>Línea 6: Innovación, ciencia e investigación para la vida</v>
          </cell>
          <cell r="D17">
            <v>20000000</v>
          </cell>
          <cell r="F17">
            <v>1.0603443561985601E-2</v>
          </cell>
        </row>
        <row r="18">
          <cell r="A18"/>
          <cell r="D18"/>
          <cell r="F18"/>
        </row>
        <row r="19">
          <cell r="A19" t="str">
            <v>línea 7: medio ambiente sano y seguro, dejando huella para la vida</v>
          </cell>
          <cell r="D19">
            <v>416661893</v>
          </cell>
          <cell r="F19">
            <v>0.22090254334277917</v>
          </cell>
        </row>
        <row r="20">
          <cell r="A20" t="str">
            <v>Línea 8: Gestión integral del talento humano que trabaja con amor por la vida</v>
          </cell>
          <cell r="D20">
            <v>2130669603</v>
          </cell>
          <cell r="F20">
            <v>1.1296217442324383</v>
          </cell>
        </row>
        <row r="21">
          <cell r="A21"/>
          <cell r="D21"/>
          <cell r="F21"/>
        </row>
        <row r="22">
          <cell r="A22"/>
          <cell r="D22"/>
          <cell r="F22"/>
        </row>
      </sheetData>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Sebastian Muñoz" id="{545C00CA-3029-4F91-ACBA-1A3AD47CA6A2}" userId="S::lidersistemas@lamaria.gov.co::48f9afd3-f113-4bc1-9dfc-902fb99254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123" dT="2024-01-18T16:24:05.69" personId="{545C00CA-3029-4F91-ACBA-1A3AD47CA6A2}" id="{0A21FA19-70DD-45EE-B8C9-85FD405D9866}">
    <text xml:space="preserve">El Índice de Ejecución de Mantenimiento Preventivo (IEMP) mide la efectividad en la realización del mantenimiento preventivo en equipos de cómputo, evaluando la proporción de equipos que han recibido mantenimiento preventivo con respecto al total de equipos en el entorno. </text>
  </threadedComment>
  <threadedComment ref="P124" dT="2024-01-18T15:49:05.83" personId="{545C00CA-3029-4F91-ACBA-1A3AD47CA6A2}" id="{0A67A55F-848E-46B4-8ED9-F912A0C586D4}">
    <text xml:space="preserve">El Índice de Cobertura de Licencias de Antivirus (ICLA) mide la proporción de equipos de cómputo con licencias de antivirus activas con respecto al total de equipos que requieren protección. </text>
  </threadedComment>
  <threadedComment ref="P125" dT="2024-01-18T16:20:09.09" personId="{545C00CA-3029-4F91-ACBA-1A3AD47CA6A2}" id="{84725DC1-8087-4ED2-B944-4ACEB42802A9}">
    <text xml:space="preserve">El Índice de Resolución de Requerimientos (IRR) mide la eficiencia en la gestión de requerimientos a través de la mesa de ayuda, evaluando la proporción de requerimientos resueltos con respecto al total de requerimientos recibidos.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224"/>
  <sheetViews>
    <sheetView tabSelected="1" topLeftCell="O1" zoomScale="78" zoomScaleNormal="78" workbookViewId="0">
      <pane ySplit="7" topLeftCell="A17" activePane="bottomLeft" state="frozen"/>
      <selection pane="bottomLeft" activeCell="AA19" sqref="AA19"/>
    </sheetView>
  </sheetViews>
  <sheetFormatPr defaultColWidth="11.375" defaultRowHeight="15.75"/>
  <cols>
    <col min="1" max="1" width="32.125" style="10" hidden="1" customWidth="1"/>
    <col min="2" max="2" width="24.75" style="3" hidden="1" customWidth="1"/>
    <col min="3" max="3" width="22" style="3" customWidth="1"/>
    <col min="4" max="4" width="21.75" style="3" customWidth="1"/>
    <col min="5" max="5" width="21.25" style="3" customWidth="1"/>
    <col min="6" max="6" width="21.125" style="3" customWidth="1"/>
    <col min="7" max="7" width="16.625" style="3" customWidth="1"/>
    <col min="8" max="8" width="21.75" style="3" customWidth="1"/>
    <col min="9" max="9" width="15.75" style="3" customWidth="1"/>
    <col min="10" max="11" width="19.875" style="3" customWidth="1"/>
    <col min="12" max="12" width="11.25" style="2" customWidth="1"/>
    <col min="13" max="13" width="12.75" style="2" customWidth="1"/>
    <col min="14" max="14" width="38.375" style="2" hidden="1" customWidth="1"/>
    <col min="15" max="15" width="57.375" style="2" customWidth="1"/>
    <col min="16" max="16" width="38.125" style="5" customWidth="1"/>
    <col min="17" max="18" width="15" style="3" customWidth="1"/>
    <col min="19" max="19" width="16.25" style="3" customWidth="1"/>
    <col min="20" max="20" width="16.75" style="3" customWidth="1"/>
    <col min="21" max="21" width="16.875" style="3" customWidth="1"/>
    <col min="22" max="22" width="18" style="3" customWidth="1"/>
    <col min="23" max="23" width="26" style="3" hidden="1" customWidth="1"/>
    <col min="24" max="24" width="21.375" style="3" hidden="1" customWidth="1"/>
    <col min="25" max="25" width="27.75" style="7" hidden="1" customWidth="1"/>
    <col min="26" max="26" width="28.125" style="7" hidden="1" customWidth="1"/>
    <col min="27" max="36" width="25.375" style="7" customWidth="1"/>
    <col min="37" max="40" width="34.25" style="7" customWidth="1"/>
    <col min="41" max="45" width="43.875" style="7" customWidth="1"/>
    <col min="46" max="46" width="20" style="3" customWidth="1"/>
    <col min="47" max="47" width="20.125" style="3" customWidth="1"/>
    <col min="48" max="48" width="30.25" style="2" customWidth="1"/>
    <col min="49" max="50" width="17.375" style="2" customWidth="1"/>
    <col min="51" max="51" width="21.125" style="2" customWidth="1"/>
    <col min="52" max="52" width="16.75" style="2" customWidth="1"/>
    <col min="53" max="53" width="20.125" style="2" customWidth="1"/>
    <col min="54" max="16384" width="11.375" style="2"/>
  </cols>
  <sheetData>
    <row r="1" spans="1:53" s="1" customFormat="1" ht="30.75" customHeight="1" thickBot="1">
      <c r="A1" s="874"/>
      <c r="B1" s="866" t="s">
        <v>0</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729"/>
      <c r="AW1" s="850" t="s">
        <v>1</v>
      </c>
      <c r="AX1" s="851"/>
      <c r="AY1" s="851"/>
      <c r="AZ1" s="851"/>
      <c r="BA1" s="852"/>
    </row>
    <row r="2" spans="1:53" s="1" customFormat="1" ht="27.95" customHeight="1" thickTop="1" thickBot="1">
      <c r="A2" s="875"/>
      <c r="B2" s="836" t="s">
        <v>2</v>
      </c>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729"/>
      <c r="AW2" s="732" t="s">
        <v>3</v>
      </c>
      <c r="AX2" s="18" t="s">
        <v>4</v>
      </c>
      <c r="AY2" s="16" t="s">
        <v>5</v>
      </c>
      <c r="AZ2" s="16" t="s">
        <v>6</v>
      </c>
      <c r="BA2" s="733" t="s">
        <v>7</v>
      </c>
    </row>
    <row r="3" spans="1:53" s="1" customFormat="1" ht="25.5" customHeight="1" thickTop="1" thickBot="1">
      <c r="A3" s="876"/>
      <c r="B3" s="873" t="s">
        <v>8</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729"/>
      <c r="AW3" s="1257"/>
      <c r="AX3" s="1258"/>
      <c r="AY3" s="1259"/>
      <c r="AZ3" s="1260"/>
      <c r="BA3" s="734"/>
    </row>
    <row r="4" spans="1:53" s="1" customFormat="1" ht="27.95" customHeight="1" thickTop="1" thickBot="1">
      <c r="A4" s="837" t="s">
        <v>9</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729"/>
      <c r="AW4" s="1257"/>
      <c r="AX4" s="1258"/>
      <c r="AY4" s="1259"/>
      <c r="AZ4" s="1260"/>
      <c r="BA4" s="734"/>
    </row>
    <row r="5" spans="1:53" s="1" customFormat="1" ht="27.95" customHeight="1" thickTop="1" thickBot="1">
      <c r="A5" s="853"/>
      <c r="B5" s="853"/>
      <c r="C5" s="853"/>
      <c r="D5" s="853"/>
      <c r="E5" s="853"/>
      <c r="F5" s="853"/>
      <c r="G5" s="853"/>
      <c r="H5" s="853"/>
      <c r="I5" s="853"/>
      <c r="J5" s="853"/>
      <c r="K5" s="853"/>
      <c r="L5" s="853"/>
      <c r="M5" s="853"/>
      <c r="N5" s="853"/>
      <c r="O5" s="853"/>
      <c r="P5" s="854"/>
      <c r="Q5" s="854"/>
      <c r="R5" s="854"/>
      <c r="S5" s="854"/>
      <c r="T5" s="854"/>
      <c r="U5" s="854"/>
      <c r="V5" s="854"/>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730"/>
      <c r="AW5" s="1257"/>
      <c r="AX5" s="1258"/>
      <c r="AY5" s="1259"/>
      <c r="AZ5" s="1260"/>
      <c r="BA5" s="734"/>
    </row>
    <row r="6" spans="1:53" ht="27.95" customHeight="1" thickBot="1">
      <c r="A6" s="856"/>
      <c r="B6" s="856"/>
      <c r="C6" s="856"/>
      <c r="D6" s="857"/>
      <c r="E6" s="858" t="s">
        <v>10</v>
      </c>
      <c r="F6" s="856"/>
      <c r="G6" s="856"/>
      <c r="H6" s="857"/>
      <c r="I6" s="21"/>
      <c r="J6" s="823" t="s">
        <v>11</v>
      </c>
      <c r="K6" s="823"/>
      <c r="L6" s="823"/>
      <c r="M6" s="823"/>
      <c r="N6" s="855" t="s">
        <v>12</v>
      </c>
      <c r="O6" s="855" t="s">
        <v>13</v>
      </c>
      <c r="P6" s="824" t="s">
        <v>14</v>
      </c>
      <c r="Q6" s="822" t="s">
        <v>15</v>
      </c>
      <c r="R6" s="822" t="s">
        <v>16</v>
      </c>
      <c r="S6" s="822" t="s">
        <v>17</v>
      </c>
      <c r="T6" s="822" t="s">
        <v>18</v>
      </c>
      <c r="U6" s="822" t="s">
        <v>19</v>
      </c>
      <c r="V6" s="822" t="s">
        <v>20</v>
      </c>
      <c r="W6" s="825" t="s">
        <v>21</v>
      </c>
      <c r="X6" s="825"/>
      <c r="Y6" s="825"/>
      <c r="Z6" s="825"/>
      <c r="AA6" s="863" t="s">
        <v>22</v>
      </c>
      <c r="AB6" s="864"/>
      <c r="AC6" s="864"/>
      <c r="AD6" s="864"/>
      <c r="AE6" s="864"/>
      <c r="AF6" s="864"/>
      <c r="AG6" s="865"/>
      <c r="AH6" s="203"/>
      <c r="AI6" s="203"/>
      <c r="AJ6" s="203"/>
      <c r="AK6" s="203"/>
      <c r="AL6" s="203"/>
      <c r="AM6" s="203"/>
      <c r="AN6" s="203"/>
      <c r="AO6" s="203"/>
      <c r="AP6" s="203"/>
      <c r="AQ6" s="203"/>
      <c r="AR6" s="203"/>
      <c r="AS6" s="203"/>
      <c r="AT6" s="826" t="s">
        <v>23</v>
      </c>
      <c r="AU6" s="820" t="s">
        <v>24</v>
      </c>
      <c r="AV6" s="731"/>
      <c r="AW6" s="735" t="s">
        <v>25</v>
      </c>
      <c r="AX6" s="736" t="s">
        <v>26</v>
      </c>
      <c r="AY6" s="737" t="s">
        <v>27</v>
      </c>
      <c r="AZ6" s="737" t="s">
        <v>28</v>
      </c>
      <c r="BA6" s="738" t="s">
        <v>29</v>
      </c>
    </row>
    <row r="7" spans="1:53" ht="68.25" customHeight="1" thickBot="1">
      <c r="A7" s="6" t="s">
        <v>30</v>
      </c>
      <c r="B7" s="20" t="s">
        <v>31</v>
      </c>
      <c r="C7" s="20" t="s">
        <v>32</v>
      </c>
      <c r="D7" s="20" t="s">
        <v>33</v>
      </c>
      <c r="E7" s="20" t="s">
        <v>34</v>
      </c>
      <c r="F7" s="20" t="s">
        <v>35</v>
      </c>
      <c r="G7" s="20" t="s">
        <v>36</v>
      </c>
      <c r="H7" s="20" t="s">
        <v>37</v>
      </c>
      <c r="I7" s="20" t="s">
        <v>38</v>
      </c>
      <c r="J7" s="22" t="s">
        <v>39</v>
      </c>
      <c r="K7" s="20" t="s">
        <v>35</v>
      </c>
      <c r="L7" s="20" t="s">
        <v>36</v>
      </c>
      <c r="M7" s="20" t="s">
        <v>40</v>
      </c>
      <c r="N7" s="855"/>
      <c r="O7" s="855"/>
      <c r="P7" s="824"/>
      <c r="Q7" s="822"/>
      <c r="R7" s="822"/>
      <c r="S7" s="822"/>
      <c r="T7" s="822"/>
      <c r="U7" s="822"/>
      <c r="V7" s="822"/>
      <c r="W7" s="20" t="s">
        <v>41</v>
      </c>
      <c r="X7" s="20" t="s">
        <v>42</v>
      </c>
      <c r="Y7" s="4" t="s">
        <v>43</v>
      </c>
      <c r="Z7" s="4" t="s">
        <v>44</v>
      </c>
      <c r="AA7" s="4" t="s">
        <v>45</v>
      </c>
      <c r="AB7" s="4" t="s">
        <v>46</v>
      </c>
      <c r="AC7" s="4" t="s">
        <v>47</v>
      </c>
      <c r="AD7" s="4" t="s">
        <v>48</v>
      </c>
      <c r="AE7" s="4" t="s">
        <v>49</v>
      </c>
      <c r="AF7" s="4" t="s">
        <v>50</v>
      </c>
      <c r="AG7" s="4" t="s">
        <v>51</v>
      </c>
      <c r="AH7" s="205" t="s">
        <v>52</v>
      </c>
      <c r="AI7" s="205" t="s">
        <v>53</v>
      </c>
      <c r="AJ7" s="205" t="s">
        <v>54</v>
      </c>
      <c r="AK7" s="205" t="s">
        <v>55</v>
      </c>
      <c r="AL7" s="205" t="s">
        <v>56</v>
      </c>
      <c r="AM7" s="205" t="s">
        <v>57</v>
      </c>
      <c r="AN7" s="205" t="s">
        <v>58</v>
      </c>
      <c r="AO7" s="205" t="s">
        <v>59</v>
      </c>
      <c r="AP7" s="205" t="s">
        <v>60</v>
      </c>
      <c r="AQ7" s="205" t="s">
        <v>61</v>
      </c>
      <c r="AR7" s="205" t="s">
        <v>62</v>
      </c>
      <c r="AS7" s="205" t="s">
        <v>63</v>
      </c>
      <c r="AT7" s="827"/>
      <c r="AU7" s="821" t="s">
        <v>24</v>
      </c>
      <c r="AV7" s="133"/>
    </row>
    <row r="8" spans="1:53" s="1" customFormat="1" ht="131.25" customHeight="1" thickBot="1">
      <c r="A8" s="870" t="s">
        <v>8</v>
      </c>
      <c r="B8" s="867" t="s">
        <v>64</v>
      </c>
      <c r="C8" s="840" t="s">
        <v>65</v>
      </c>
      <c r="D8" s="859" t="s">
        <v>66</v>
      </c>
      <c r="E8" s="808" t="s">
        <v>67</v>
      </c>
      <c r="F8" s="808" t="s">
        <v>68</v>
      </c>
      <c r="G8" s="808" t="s">
        <v>69</v>
      </c>
      <c r="H8" s="808">
        <v>100</v>
      </c>
      <c r="I8" s="808" t="s">
        <v>70</v>
      </c>
      <c r="J8" s="24" t="s">
        <v>71</v>
      </c>
      <c r="K8" s="24" t="s">
        <v>72</v>
      </c>
      <c r="L8" s="25">
        <v>1</v>
      </c>
      <c r="M8" s="25">
        <v>1</v>
      </c>
      <c r="N8" s="780"/>
      <c r="O8" s="780" t="s">
        <v>73</v>
      </c>
      <c r="P8" s="720" t="s">
        <v>74</v>
      </c>
      <c r="Q8" s="587" t="s">
        <v>72</v>
      </c>
      <c r="R8" s="587">
        <v>1</v>
      </c>
      <c r="S8" s="357">
        <v>0</v>
      </c>
      <c r="T8" s="357">
        <v>0</v>
      </c>
      <c r="U8" s="357">
        <v>0</v>
      </c>
      <c r="V8" s="357">
        <v>1</v>
      </c>
      <c r="W8" s="769" t="s">
        <v>75</v>
      </c>
      <c r="X8" s="769" t="s">
        <v>76</v>
      </c>
      <c r="Y8" s="1261">
        <v>1736610479</v>
      </c>
      <c r="Z8" s="1261">
        <f>Y8</f>
        <v>1736610479</v>
      </c>
      <c r="AA8" s="357">
        <v>0</v>
      </c>
      <c r="AB8" s="587"/>
      <c r="AC8" s="587"/>
      <c r="AD8" s="587"/>
      <c r="AE8" s="1262"/>
      <c r="AF8" s="1262"/>
      <c r="AG8" s="1262"/>
      <c r="AH8" s="1263"/>
      <c r="AI8" s="1263"/>
      <c r="AJ8" s="1263"/>
      <c r="AK8" s="1263"/>
      <c r="AL8" s="1263"/>
      <c r="AM8" s="1263"/>
      <c r="AN8" s="1263"/>
      <c r="AO8" s="1263"/>
      <c r="AP8" s="1263"/>
      <c r="AQ8" s="1263"/>
      <c r="AR8" s="1263"/>
      <c r="AS8" s="1263"/>
      <c r="AT8" s="585" t="s">
        <v>77</v>
      </c>
      <c r="AU8" s="586" t="s">
        <v>77</v>
      </c>
      <c r="AV8" s="788" t="s">
        <v>78</v>
      </c>
    </row>
    <row r="9" spans="1:53" s="1" customFormat="1" ht="131.25" customHeight="1" thickBot="1">
      <c r="A9" s="871"/>
      <c r="B9" s="868"/>
      <c r="C9" s="839"/>
      <c r="D9" s="860"/>
      <c r="E9" s="813"/>
      <c r="F9" s="814"/>
      <c r="G9" s="814"/>
      <c r="H9" s="814"/>
      <c r="I9" s="809"/>
      <c r="J9" s="835" t="s">
        <v>79</v>
      </c>
      <c r="K9" s="808" t="s">
        <v>72</v>
      </c>
      <c r="L9" s="761">
        <v>1</v>
      </c>
      <c r="M9" s="761">
        <v>1</v>
      </c>
      <c r="N9" s="781"/>
      <c r="O9" s="781"/>
      <c r="P9" s="720" t="s">
        <v>80</v>
      </c>
      <c r="Q9" s="587" t="s">
        <v>72</v>
      </c>
      <c r="R9" s="587">
        <v>1</v>
      </c>
      <c r="S9" s="357">
        <v>0</v>
      </c>
      <c r="T9" s="357">
        <v>0</v>
      </c>
      <c r="U9" s="357">
        <v>1</v>
      </c>
      <c r="V9" s="357">
        <v>0</v>
      </c>
      <c r="W9" s="770"/>
      <c r="X9" s="770"/>
      <c r="Y9" s="1264"/>
      <c r="Z9" s="1264"/>
      <c r="AA9" s="357">
        <v>0</v>
      </c>
      <c r="AB9" s="587"/>
      <c r="AC9" s="587"/>
      <c r="AD9" s="587"/>
      <c r="AE9" s="1262"/>
      <c r="AF9" s="1262"/>
      <c r="AG9" s="1262"/>
      <c r="AH9" s="1263"/>
      <c r="AI9" s="1263"/>
      <c r="AJ9" s="1263"/>
      <c r="AK9" s="1263"/>
      <c r="AL9" s="1263"/>
      <c r="AM9" s="1263"/>
      <c r="AN9" s="1263"/>
      <c r="AO9" s="1263"/>
      <c r="AP9" s="1263"/>
      <c r="AQ9" s="1263"/>
      <c r="AR9" s="1263"/>
      <c r="AS9" s="1263"/>
      <c r="AT9" s="585" t="s">
        <v>77</v>
      </c>
      <c r="AU9" s="586" t="s">
        <v>77</v>
      </c>
      <c r="AV9" s="789"/>
    </row>
    <row r="10" spans="1:53" s="1" customFormat="1" ht="90.75" customHeight="1" thickBot="1">
      <c r="A10" s="871"/>
      <c r="B10" s="868"/>
      <c r="C10" s="839"/>
      <c r="D10" s="860"/>
      <c r="E10" s="26" t="s">
        <v>81</v>
      </c>
      <c r="F10" s="23" t="s">
        <v>68</v>
      </c>
      <c r="G10" s="23" t="s">
        <v>69</v>
      </c>
      <c r="H10" s="23">
        <v>100</v>
      </c>
      <c r="I10" s="809"/>
      <c r="J10" s="813"/>
      <c r="K10" s="814"/>
      <c r="L10" s="832"/>
      <c r="M10" s="832"/>
      <c r="N10" s="781"/>
      <c r="O10" s="781"/>
      <c r="P10" s="720" t="s">
        <v>82</v>
      </c>
      <c r="Q10" s="587" t="s">
        <v>72</v>
      </c>
      <c r="R10" s="587">
        <v>2</v>
      </c>
      <c r="S10" s="357">
        <v>0</v>
      </c>
      <c r="T10" s="357">
        <v>0</v>
      </c>
      <c r="U10" s="357">
        <v>0</v>
      </c>
      <c r="V10" s="357">
        <v>2</v>
      </c>
      <c r="W10" s="770"/>
      <c r="X10" s="770"/>
      <c r="Y10" s="1264"/>
      <c r="Z10" s="1264"/>
      <c r="AA10" s="357">
        <v>0</v>
      </c>
      <c r="AB10" s="587"/>
      <c r="AC10" s="587"/>
      <c r="AD10" s="587"/>
      <c r="AE10" s="1262"/>
      <c r="AF10" s="1262"/>
      <c r="AG10" s="1262"/>
      <c r="AH10" s="1263"/>
      <c r="AI10" s="1263"/>
      <c r="AJ10" s="1263"/>
      <c r="AK10" s="1263"/>
      <c r="AL10" s="1263"/>
      <c r="AM10" s="1263"/>
      <c r="AN10" s="1263"/>
      <c r="AO10" s="1263"/>
      <c r="AP10" s="1263"/>
      <c r="AQ10" s="1263"/>
      <c r="AR10" s="1263"/>
      <c r="AS10" s="1263"/>
      <c r="AT10" s="585" t="s">
        <v>77</v>
      </c>
      <c r="AU10" s="586" t="s">
        <v>77</v>
      </c>
      <c r="AV10" s="789"/>
    </row>
    <row r="11" spans="1:53" s="1" customFormat="1" ht="93.75" customHeight="1" thickBot="1">
      <c r="A11" s="871"/>
      <c r="B11" s="868"/>
      <c r="C11" s="862"/>
      <c r="D11" s="861"/>
      <c r="E11" s="30" t="s">
        <v>83</v>
      </c>
      <c r="F11" s="31" t="s">
        <v>68</v>
      </c>
      <c r="G11" s="31" t="s">
        <v>69</v>
      </c>
      <c r="H11" s="31">
        <v>75</v>
      </c>
      <c r="I11" s="814"/>
      <c r="J11" s="32" t="s">
        <v>84</v>
      </c>
      <c r="K11" s="33" t="s">
        <v>72</v>
      </c>
      <c r="L11" s="34">
        <v>0</v>
      </c>
      <c r="M11" s="34">
        <v>19</v>
      </c>
      <c r="N11" s="762"/>
      <c r="O11" s="762"/>
      <c r="P11" s="720" t="s">
        <v>85</v>
      </c>
      <c r="Q11" s="587" t="s">
        <v>86</v>
      </c>
      <c r="R11" s="357">
        <v>1</v>
      </c>
      <c r="S11" s="357">
        <v>0</v>
      </c>
      <c r="T11" s="357">
        <v>0</v>
      </c>
      <c r="U11" s="357">
        <v>0</v>
      </c>
      <c r="V11" s="357">
        <v>1</v>
      </c>
      <c r="W11" s="771"/>
      <c r="X11" s="771"/>
      <c r="Y11" s="1265"/>
      <c r="Z11" s="1265"/>
      <c r="AA11" s="357">
        <v>0</v>
      </c>
      <c r="AB11" s="587"/>
      <c r="AC11" s="587"/>
      <c r="AD11" s="587"/>
      <c r="AE11" s="1262"/>
      <c r="AF11" s="1262"/>
      <c r="AG11" s="1262"/>
      <c r="AH11" s="1263"/>
      <c r="AI11" s="1263"/>
      <c r="AJ11" s="1263"/>
      <c r="AK11" s="1263"/>
      <c r="AL11" s="1263"/>
      <c r="AM11" s="1263"/>
      <c r="AN11" s="1263"/>
      <c r="AO11" s="1263"/>
      <c r="AP11" s="1263"/>
      <c r="AQ11" s="1263"/>
      <c r="AR11" s="1263"/>
      <c r="AS11" s="1263"/>
      <c r="AT11" s="585" t="s">
        <v>77</v>
      </c>
      <c r="AU11" s="586" t="s">
        <v>77</v>
      </c>
      <c r="AV11" s="790"/>
    </row>
    <row r="12" spans="1:53" s="1" customFormat="1" ht="72.75" customHeight="1">
      <c r="A12" s="871"/>
      <c r="B12" s="868"/>
      <c r="C12" s="838" t="s">
        <v>87</v>
      </c>
      <c r="D12" s="839" t="s">
        <v>88</v>
      </c>
      <c r="E12" s="809" t="s">
        <v>89</v>
      </c>
      <c r="F12" s="809" t="s">
        <v>90</v>
      </c>
      <c r="G12" s="809">
        <v>1.45</v>
      </c>
      <c r="H12" s="809">
        <v>1.5</v>
      </c>
      <c r="I12" s="809" t="s">
        <v>91</v>
      </c>
      <c r="J12" s="27" t="s">
        <v>92</v>
      </c>
      <c r="K12" s="27" t="s">
        <v>93</v>
      </c>
      <c r="L12" s="28">
        <v>20</v>
      </c>
      <c r="M12" s="28">
        <v>100</v>
      </c>
      <c r="N12" s="781"/>
      <c r="O12" s="781"/>
      <c r="P12" s="720" t="s">
        <v>94</v>
      </c>
      <c r="Q12" s="587" t="s">
        <v>72</v>
      </c>
      <c r="R12" s="357">
        <v>6</v>
      </c>
      <c r="S12" s="357">
        <v>0</v>
      </c>
      <c r="T12" s="357">
        <v>2</v>
      </c>
      <c r="U12" s="357">
        <v>2</v>
      </c>
      <c r="V12" s="357">
        <v>2</v>
      </c>
      <c r="W12" s="770" t="s">
        <v>95</v>
      </c>
      <c r="X12" s="770"/>
      <c r="Y12" s="1264">
        <v>93243266.379999995</v>
      </c>
      <c r="Z12" s="1264">
        <f>Y12</f>
        <v>93243266.379999995</v>
      </c>
      <c r="AA12" s="547">
        <v>0</v>
      </c>
      <c r="AB12" s="587"/>
      <c r="AC12" s="587"/>
      <c r="AD12" s="587"/>
      <c r="AE12" s="1262"/>
      <c r="AF12" s="1262"/>
      <c r="AG12" s="1262"/>
      <c r="AH12" s="1262"/>
      <c r="AI12" s="1262"/>
      <c r="AJ12" s="1262"/>
      <c r="AK12" s="1262"/>
      <c r="AL12" s="1262"/>
      <c r="AM12" s="1262"/>
      <c r="AN12" s="1262"/>
      <c r="AO12" s="1262"/>
      <c r="AP12" s="1262"/>
      <c r="AQ12" s="1262"/>
      <c r="AR12" s="1262"/>
      <c r="AS12" s="1262"/>
      <c r="AT12" s="357" t="s">
        <v>96</v>
      </c>
      <c r="AU12" s="357" t="s">
        <v>96</v>
      </c>
      <c r="AV12" s="789"/>
    </row>
    <row r="13" spans="1:53" s="1" customFormat="1" ht="75" customHeight="1">
      <c r="A13" s="871"/>
      <c r="B13" s="868"/>
      <c r="C13" s="838"/>
      <c r="D13" s="839"/>
      <c r="E13" s="809"/>
      <c r="F13" s="809"/>
      <c r="G13" s="809"/>
      <c r="H13" s="809"/>
      <c r="I13" s="809"/>
      <c r="J13" s="27" t="s">
        <v>97</v>
      </c>
      <c r="K13" s="27" t="s">
        <v>98</v>
      </c>
      <c r="L13" s="28">
        <v>20</v>
      </c>
      <c r="M13" s="28">
        <v>100</v>
      </c>
      <c r="N13" s="781"/>
      <c r="O13" s="781"/>
      <c r="P13" s="720" t="s">
        <v>99</v>
      </c>
      <c r="Q13" s="587" t="s">
        <v>72</v>
      </c>
      <c r="R13" s="357">
        <v>6</v>
      </c>
      <c r="S13" s="357">
        <v>0</v>
      </c>
      <c r="T13" s="357">
        <v>2</v>
      </c>
      <c r="U13" s="357">
        <v>2</v>
      </c>
      <c r="V13" s="357">
        <v>2</v>
      </c>
      <c r="W13" s="770"/>
      <c r="X13" s="770"/>
      <c r="Y13" s="1264"/>
      <c r="Z13" s="1264"/>
      <c r="AA13" s="547">
        <v>0</v>
      </c>
      <c r="AB13" s="587"/>
      <c r="AC13" s="587"/>
      <c r="AD13" s="587"/>
      <c r="AE13" s="1262"/>
      <c r="AF13" s="1262"/>
      <c r="AG13" s="1262"/>
      <c r="AH13" s="1262"/>
      <c r="AI13" s="1262"/>
      <c r="AJ13" s="1262"/>
      <c r="AK13" s="1262"/>
      <c r="AL13" s="1262"/>
      <c r="AM13" s="1262"/>
      <c r="AN13" s="1262"/>
      <c r="AO13" s="1262"/>
      <c r="AP13" s="1262"/>
      <c r="AQ13" s="1262"/>
      <c r="AR13" s="1262"/>
      <c r="AS13" s="1262"/>
      <c r="AT13" s="357"/>
      <c r="AU13" s="357"/>
      <c r="AV13" s="789"/>
    </row>
    <row r="14" spans="1:53" s="1" customFormat="1" ht="75.75" customHeight="1" thickBot="1">
      <c r="A14" s="871"/>
      <c r="B14" s="868"/>
      <c r="C14" s="838"/>
      <c r="D14" s="839"/>
      <c r="E14" s="809"/>
      <c r="F14" s="809" t="s">
        <v>90</v>
      </c>
      <c r="G14" s="809"/>
      <c r="H14" s="809"/>
      <c r="I14" s="809"/>
      <c r="J14" s="27" t="s">
        <v>100</v>
      </c>
      <c r="K14" s="27" t="s">
        <v>93</v>
      </c>
      <c r="L14" s="28">
        <v>100</v>
      </c>
      <c r="M14" s="28">
        <v>100</v>
      </c>
      <c r="N14" s="781"/>
      <c r="O14" s="781"/>
      <c r="P14" s="724" t="s">
        <v>101</v>
      </c>
      <c r="Q14" s="587" t="s">
        <v>86</v>
      </c>
      <c r="R14" s="357">
        <v>1</v>
      </c>
      <c r="S14" s="357">
        <v>0</v>
      </c>
      <c r="T14" s="357">
        <v>0</v>
      </c>
      <c r="U14" s="357">
        <v>0</v>
      </c>
      <c r="V14" s="357">
        <v>1</v>
      </c>
      <c r="W14" s="770"/>
      <c r="X14" s="770"/>
      <c r="Y14" s="1264"/>
      <c r="Z14" s="1264"/>
      <c r="AA14" s="547">
        <v>0</v>
      </c>
      <c r="AB14" s="587"/>
      <c r="AC14" s="587"/>
      <c r="AD14" s="587"/>
      <c r="AE14" s="1262"/>
      <c r="AF14" s="1262"/>
      <c r="AG14" s="1262"/>
      <c r="AH14" s="1262"/>
      <c r="AI14" s="1262"/>
      <c r="AJ14" s="1262"/>
      <c r="AK14" s="1262"/>
      <c r="AL14" s="1262"/>
      <c r="AM14" s="1262"/>
      <c r="AN14" s="1262"/>
      <c r="AO14" s="1262"/>
      <c r="AP14" s="1262"/>
      <c r="AQ14" s="1262"/>
      <c r="AR14" s="1262"/>
      <c r="AS14" s="1262"/>
      <c r="AT14" s="357" t="s">
        <v>96</v>
      </c>
      <c r="AU14" s="357" t="s">
        <v>96</v>
      </c>
      <c r="AV14" s="789"/>
    </row>
    <row r="15" spans="1:53" s="1" customFormat="1" ht="115.5" customHeight="1">
      <c r="A15" s="871"/>
      <c r="B15" s="868"/>
      <c r="C15" s="840" t="s">
        <v>102</v>
      </c>
      <c r="D15" s="808" t="s">
        <v>103</v>
      </c>
      <c r="E15" s="162" t="s">
        <v>104</v>
      </c>
      <c r="F15" s="808" t="s">
        <v>68</v>
      </c>
      <c r="G15" s="808">
        <v>95</v>
      </c>
      <c r="H15" s="808">
        <v>95</v>
      </c>
      <c r="I15" s="808" t="s">
        <v>105</v>
      </c>
      <c r="J15" s="808" t="s">
        <v>106</v>
      </c>
      <c r="K15" s="808" t="s">
        <v>72</v>
      </c>
      <c r="L15" s="780" t="s">
        <v>69</v>
      </c>
      <c r="M15" s="780">
        <v>4</v>
      </c>
      <c r="N15" s="761"/>
      <c r="O15" s="835" t="s">
        <v>107</v>
      </c>
      <c r="P15" s="720" t="s">
        <v>108</v>
      </c>
      <c r="Q15" s="587" t="s">
        <v>86</v>
      </c>
      <c r="R15" s="357">
        <v>4</v>
      </c>
      <c r="S15" s="357">
        <v>1</v>
      </c>
      <c r="T15" s="357">
        <v>1</v>
      </c>
      <c r="U15" s="357">
        <v>1</v>
      </c>
      <c r="V15" s="357">
        <v>1</v>
      </c>
      <c r="W15" s="769" t="s">
        <v>95</v>
      </c>
      <c r="X15" s="769" t="s">
        <v>76</v>
      </c>
      <c r="Y15" s="1261">
        <v>108716667</v>
      </c>
      <c r="Z15" s="1261">
        <f>+Y15</f>
        <v>108716667</v>
      </c>
      <c r="AA15" s="547">
        <v>0</v>
      </c>
      <c r="AB15" s="587"/>
      <c r="AC15" s="587"/>
      <c r="AD15" s="587"/>
      <c r="AE15" s="1262"/>
      <c r="AF15" s="1262"/>
      <c r="AG15" s="1262"/>
      <c r="AH15" s="1266"/>
      <c r="AI15" s="1266"/>
      <c r="AJ15" s="1266"/>
      <c r="AK15" s="1266"/>
      <c r="AL15" s="1266"/>
      <c r="AM15" s="1266"/>
      <c r="AN15" s="1266"/>
      <c r="AO15" s="1266"/>
      <c r="AP15" s="1266"/>
      <c r="AQ15" s="1266"/>
      <c r="AR15" s="1266"/>
      <c r="AS15" s="1266"/>
      <c r="AT15" s="769" t="s">
        <v>109</v>
      </c>
      <c r="AU15" s="877" t="s">
        <v>109</v>
      </c>
      <c r="AV15" s="788" t="s">
        <v>110</v>
      </c>
    </row>
    <row r="16" spans="1:53" s="1" customFormat="1" ht="89.25" customHeight="1" thickBot="1">
      <c r="A16" s="871"/>
      <c r="B16" s="868"/>
      <c r="C16" s="839"/>
      <c r="D16" s="809"/>
      <c r="E16" s="142"/>
      <c r="F16" s="809"/>
      <c r="G16" s="809"/>
      <c r="H16" s="809"/>
      <c r="I16" s="809"/>
      <c r="J16" s="813"/>
      <c r="K16" s="813"/>
      <c r="L16" s="832"/>
      <c r="M16" s="832"/>
      <c r="N16" s="832"/>
      <c r="O16" s="813"/>
      <c r="P16" s="720" t="s">
        <v>111</v>
      </c>
      <c r="Q16" s="587" t="s">
        <v>86</v>
      </c>
      <c r="R16" s="357">
        <v>2</v>
      </c>
      <c r="S16" s="357">
        <v>0</v>
      </c>
      <c r="T16" s="357">
        <v>1</v>
      </c>
      <c r="U16" s="357">
        <v>0</v>
      </c>
      <c r="V16" s="357">
        <v>1</v>
      </c>
      <c r="W16" s="770"/>
      <c r="X16" s="770"/>
      <c r="Y16" s="1264"/>
      <c r="Z16" s="1264"/>
      <c r="AA16" s="547">
        <v>1</v>
      </c>
      <c r="AB16" s="587"/>
      <c r="AC16" s="587"/>
      <c r="AD16" s="587"/>
      <c r="AE16" s="1262"/>
      <c r="AF16" s="1262"/>
      <c r="AG16" s="1262"/>
      <c r="AH16" s="1263"/>
      <c r="AI16" s="1263"/>
      <c r="AJ16" s="1263"/>
      <c r="AK16" s="1263"/>
      <c r="AL16" s="1263"/>
      <c r="AM16" s="1263"/>
      <c r="AN16" s="1263"/>
      <c r="AO16" s="1263"/>
      <c r="AP16" s="1263"/>
      <c r="AQ16" s="1263"/>
      <c r="AR16" s="1263"/>
      <c r="AS16" s="1263"/>
      <c r="AT16" s="771"/>
      <c r="AU16" s="878"/>
      <c r="AV16" s="789"/>
    </row>
    <row r="17" spans="1:48" s="1" customFormat="1" ht="96" customHeight="1" thickBot="1">
      <c r="A17" s="872"/>
      <c r="B17" s="869"/>
      <c r="C17" s="839"/>
      <c r="D17" s="809"/>
      <c r="E17" s="142"/>
      <c r="F17" s="809"/>
      <c r="G17" s="809"/>
      <c r="H17" s="809"/>
      <c r="I17" s="809"/>
      <c r="J17" s="36" t="s">
        <v>112</v>
      </c>
      <c r="K17" s="36" t="s">
        <v>93</v>
      </c>
      <c r="L17" s="761">
        <v>100</v>
      </c>
      <c r="M17" s="761">
        <v>100</v>
      </c>
      <c r="N17" s="37"/>
      <c r="O17" s="36" t="s">
        <v>113</v>
      </c>
      <c r="P17" s="720" t="s">
        <v>114</v>
      </c>
      <c r="Q17" s="587" t="s">
        <v>86</v>
      </c>
      <c r="R17" s="357">
        <v>4</v>
      </c>
      <c r="S17" s="357">
        <v>1</v>
      </c>
      <c r="T17" s="357">
        <v>1</v>
      </c>
      <c r="U17" s="357">
        <v>1</v>
      </c>
      <c r="V17" s="357">
        <v>1</v>
      </c>
      <c r="W17" s="770"/>
      <c r="X17" s="770"/>
      <c r="Y17" s="1264"/>
      <c r="Z17" s="1264"/>
      <c r="AA17" s="547">
        <v>1</v>
      </c>
      <c r="AB17" s="587"/>
      <c r="AC17" s="587"/>
      <c r="AD17" s="587"/>
      <c r="AE17" s="1262"/>
      <c r="AF17" s="1262"/>
      <c r="AG17" s="1262"/>
      <c r="AH17" s="1266"/>
      <c r="AI17" s="1266"/>
      <c r="AJ17" s="1266"/>
      <c r="AK17" s="1266"/>
      <c r="AL17" s="1266"/>
      <c r="AM17" s="1266"/>
      <c r="AN17" s="1266"/>
      <c r="AO17" s="1266"/>
      <c r="AP17" s="1266"/>
      <c r="AQ17" s="1266"/>
      <c r="AR17" s="1266"/>
      <c r="AS17" s="1266"/>
      <c r="AT17" s="769" t="s">
        <v>109</v>
      </c>
      <c r="AU17" s="769" t="s">
        <v>109</v>
      </c>
      <c r="AV17" s="790"/>
    </row>
    <row r="18" spans="1:48" s="1" customFormat="1" ht="81" customHeight="1" thickBot="1">
      <c r="A18" s="139"/>
      <c r="B18" s="143"/>
      <c r="C18" s="138"/>
      <c r="D18" s="814"/>
      <c r="E18" s="137"/>
      <c r="F18" s="137"/>
      <c r="G18" s="137"/>
      <c r="H18" s="137">
        <v>0</v>
      </c>
      <c r="I18" s="137"/>
      <c r="J18" s="142"/>
      <c r="K18" s="142"/>
      <c r="L18" s="762"/>
      <c r="M18" s="762"/>
      <c r="N18" s="144"/>
      <c r="O18" s="142"/>
      <c r="P18" s="720" t="s">
        <v>115</v>
      </c>
      <c r="Q18" s="587" t="s">
        <v>86</v>
      </c>
      <c r="R18" s="357">
        <v>2</v>
      </c>
      <c r="S18" s="357">
        <v>0</v>
      </c>
      <c r="T18" s="357">
        <v>1</v>
      </c>
      <c r="U18" s="357">
        <v>0</v>
      </c>
      <c r="V18" s="357">
        <v>1</v>
      </c>
      <c r="W18" s="776"/>
      <c r="X18" s="776"/>
      <c r="Y18" s="1265"/>
      <c r="Z18" s="1265"/>
      <c r="AA18" s="547">
        <v>1</v>
      </c>
      <c r="AB18" s="587"/>
      <c r="AC18" s="587"/>
      <c r="AD18" s="587"/>
      <c r="AE18" s="1262"/>
      <c r="AF18" s="1262"/>
      <c r="AG18" s="1262"/>
      <c r="AH18" s="1263"/>
      <c r="AI18" s="1263"/>
      <c r="AJ18" s="1263"/>
      <c r="AK18" s="1263"/>
      <c r="AL18" s="1263"/>
      <c r="AM18" s="1263"/>
      <c r="AN18" s="1263"/>
      <c r="AO18" s="1263"/>
      <c r="AP18" s="1263"/>
      <c r="AQ18" s="1263"/>
      <c r="AR18" s="1263"/>
      <c r="AS18" s="1263"/>
      <c r="AT18" s="776"/>
      <c r="AU18" s="771"/>
      <c r="AV18" s="136"/>
    </row>
    <row r="19" spans="1:48" s="1" customFormat="1" ht="120.75" customHeight="1">
      <c r="A19" s="841" t="s">
        <v>116</v>
      </c>
      <c r="B19" s="847" t="s">
        <v>117</v>
      </c>
      <c r="C19" s="844" t="s">
        <v>118</v>
      </c>
      <c r="D19" s="763" t="s">
        <v>119</v>
      </c>
      <c r="E19" s="763" t="s">
        <v>120</v>
      </c>
      <c r="F19" s="763" t="s">
        <v>68</v>
      </c>
      <c r="G19" s="763">
        <v>34.4</v>
      </c>
      <c r="H19" s="763">
        <v>20</v>
      </c>
      <c r="I19" s="763" t="s">
        <v>121</v>
      </c>
      <c r="J19" s="763" t="s">
        <v>122</v>
      </c>
      <c r="K19" s="763" t="s">
        <v>93</v>
      </c>
      <c r="L19" s="783">
        <v>83</v>
      </c>
      <c r="M19" s="783">
        <v>85</v>
      </c>
      <c r="N19" s="783"/>
      <c r="O19" s="783" t="s">
        <v>123</v>
      </c>
      <c r="P19" s="724" t="s">
        <v>124</v>
      </c>
      <c r="Q19" s="272" t="s">
        <v>93</v>
      </c>
      <c r="R19" s="272">
        <v>80</v>
      </c>
      <c r="S19" s="272">
        <v>80</v>
      </c>
      <c r="T19" s="272">
        <v>80</v>
      </c>
      <c r="U19" s="272">
        <v>80</v>
      </c>
      <c r="V19" s="272">
        <v>80</v>
      </c>
      <c r="W19" s="775" t="s">
        <v>125</v>
      </c>
      <c r="X19" s="775" t="s">
        <v>76</v>
      </c>
      <c r="Y19" s="800">
        <v>6214122164.9433002</v>
      </c>
      <c r="Z19" s="879">
        <f>+Y19</f>
        <v>6214122164.9433002</v>
      </c>
      <c r="AA19" s="744"/>
      <c r="AB19" s="587"/>
      <c r="AC19" s="587"/>
      <c r="AD19" s="588"/>
      <c r="AE19" s="589"/>
      <c r="AF19" s="588"/>
      <c r="AG19" s="588"/>
      <c r="AH19" s="588"/>
      <c r="AI19" s="588"/>
      <c r="AJ19" s="588"/>
      <c r="AK19" s="588"/>
      <c r="AL19" s="588"/>
      <c r="AM19" s="588"/>
      <c r="AN19" s="588"/>
      <c r="AO19" s="588"/>
      <c r="AP19" s="588"/>
      <c r="AQ19" s="588"/>
      <c r="AR19" s="588"/>
      <c r="AS19" s="588"/>
      <c r="AT19" s="357" t="s">
        <v>126</v>
      </c>
      <c r="AU19" s="357" t="s">
        <v>126</v>
      </c>
      <c r="AV19" s="788" t="s">
        <v>127</v>
      </c>
    </row>
    <row r="20" spans="1:48" s="1" customFormat="1" ht="120.75" customHeight="1">
      <c r="A20" s="842"/>
      <c r="B20" s="773"/>
      <c r="C20" s="845"/>
      <c r="D20" s="764"/>
      <c r="E20" s="764"/>
      <c r="F20" s="764"/>
      <c r="G20" s="764"/>
      <c r="H20" s="764"/>
      <c r="I20" s="764"/>
      <c r="J20" s="764"/>
      <c r="K20" s="764"/>
      <c r="L20" s="768"/>
      <c r="M20" s="768"/>
      <c r="N20" s="768"/>
      <c r="O20" s="768"/>
      <c r="P20" s="724" t="s">
        <v>128</v>
      </c>
      <c r="Q20" s="272" t="s">
        <v>93</v>
      </c>
      <c r="R20" s="272">
        <v>80</v>
      </c>
      <c r="S20" s="272">
        <v>80</v>
      </c>
      <c r="T20" s="272">
        <v>80</v>
      </c>
      <c r="U20" s="272">
        <v>80</v>
      </c>
      <c r="V20" s="272">
        <v>80</v>
      </c>
      <c r="W20" s="770"/>
      <c r="X20" s="770"/>
      <c r="Y20" s="785"/>
      <c r="Z20" s="880"/>
      <c r="AA20" s="744"/>
      <c r="AB20" s="587"/>
      <c r="AC20" s="587"/>
      <c r="AD20" s="588"/>
      <c r="AE20" s="589"/>
      <c r="AF20" s="588"/>
      <c r="AG20" s="588"/>
      <c r="AH20" s="588"/>
      <c r="AI20" s="588"/>
      <c r="AJ20" s="588"/>
      <c r="AK20" s="588"/>
      <c r="AL20" s="588"/>
      <c r="AM20" s="588"/>
      <c r="AN20" s="588"/>
      <c r="AO20" s="588"/>
      <c r="AP20" s="588"/>
      <c r="AQ20" s="588"/>
      <c r="AR20" s="588"/>
      <c r="AS20" s="588"/>
      <c r="AT20" s="357"/>
      <c r="AU20" s="357"/>
      <c r="AV20" s="789"/>
    </row>
    <row r="21" spans="1:48" s="1" customFormat="1" ht="120.75" customHeight="1">
      <c r="A21" s="842"/>
      <c r="B21" s="773"/>
      <c r="C21" s="845"/>
      <c r="D21" s="764"/>
      <c r="E21" s="764"/>
      <c r="F21" s="764"/>
      <c r="G21" s="764"/>
      <c r="H21" s="764"/>
      <c r="I21" s="764"/>
      <c r="J21" s="764"/>
      <c r="K21" s="764"/>
      <c r="L21" s="768"/>
      <c r="M21" s="768"/>
      <c r="N21" s="768"/>
      <c r="O21" s="768"/>
      <c r="P21" s="724" t="s">
        <v>129</v>
      </c>
      <c r="Q21" s="272" t="s">
        <v>93</v>
      </c>
      <c r="R21" s="742">
        <v>100</v>
      </c>
      <c r="S21" s="742">
        <v>100</v>
      </c>
      <c r="T21" s="742">
        <v>100</v>
      </c>
      <c r="U21" s="742">
        <v>100</v>
      </c>
      <c r="V21" s="742">
        <v>100</v>
      </c>
      <c r="W21" s="770"/>
      <c r="X21" s="770"/>
      <c r="Y21" s="785"/>
      <c r="Z21" s="880"/>
      <c r="AA21" s="744"/>
      <c r="AB21" s="587"/>
      <c r="AC21" s="587"/>
      <c r="AD21" s="588"/>
      <c r="AE21" s="589"/>
      <c r="AF21" s="588"/>
      <c r="AG21" s="588"/>
      <c r="AH21" s="588"/>
      <c r="AI21" s="588"/>
      <c r="AJ21" s="588"/>
      <c r="AK21" s="588"/>
      <c r="AL21" s="588"/>
      <c r="AM21" s="588"/>
      <c r="AN21" s="588"/>
      <c r="AO21" s="588"/>
      <c r="AP21" s="588"/>
      <c r="AQ21" s="588"/>
      <c r="AR21" s="588"/>
      <c r="AS21" s="588"/>
      <c r="AT21" s="357"/>
      <c r="AU21" s="357"/>
      <c r="AV21" s="789"/>
    </row>
    <row r="22" spans="1:48" s="1" customFormat="1" ht="120.75" customHeight="1">
      <c r="A22" s="842"/>
      <c r="B22" s="773"/>
      <c r="C22" s="845"/>
      <c r="D22" s="764"/>
      <c r="E22" s="764"/>
      <c r="F22" s="764"/>
      <c r="G22" s="764"/>
      <c r="H22" s="764"/>
      <c r="I22" s="764"/>
      <c r="J22" s="764"/>
      <c r="K22" s="764"/>
      <c r="L22" s="768"/>
      <c r="M22" s="768"/>
      <c r="N22" s="768"/>
      <c r="O22" s="768"/>
      <c r="P22" s="724" t="s">
        <v>130</v>
      </c>
      <c r="Q22" s="272" t="s">
        <v>93</v>
      </c>
      <c r="R22" s="742">
        <v>90</v>
      </c>
      <c r="S22" s="742">
        <v>90</v>
      </c>
      <c r="T22" s="742">
        <v>90</v>
      </c>
      <c r="U22" s="742">
        <v>90</v>
      </c>
      <c r="V22" s="742">
        <v>90</v>
      </c>
      <c r="W22" s="770"/>
      <c r="X22" s="770"/>
      <c r="Y22" s="785"/>
      <c r="Z22" s="880"/>
      <c r="AA22" s="744"/>
      <c r="AB22" s="587"/>
      <c r="AC22" s="587"/>
      <c r="AD22" s="588"/>
      <c r="AE22" s="589"/>
      <c r="AF22" s="588"/>
      <c r="AG22" s="588"/>
      <c r="AH22" s="588"/>
      <c r="AI22" s="588"/>
      <c r="AJ22" s="588"/>
      <c r="AK22" s="588"/>
      <c r="AL22" s="588"/>
      <c r="AM22" s="588"/>
      <c r="AN22" s="588"/>
      <c r="AO22" s="588"/>
      <c r="AP22" s="588"/>
      <c r="AQ22" s="588"/>
      <c r="AR22" s="588"/>
      <c r="AS22" s="588"/>
      <c r="AT22" s="357"/>
      <c r="AU22" s="357"/>
      <c r="AV22" s="789"/>
    </row>
    <row r="23" spans="1:48" s="1" customFormat="1" ht="120.75" customHeight="1">
      <c r="A23" s="842"/>
      <c r="B23" s="773"/>
      <c r="C23" s="845"/>
      <c r="D23" s="764"/>
      <c r="E23" s="764"/>
      <c r="F23" s="764"/>
      <c r="G23" s="764"/>
      <c r="H23" s="764"/>
      <c r="I23" s="764"/>
      <c r="J23" s="764"/>
      <c r="K23" s="764"/>
      <c r="L23" s="768"/>
      <c r="M23" s="768"/>
      <c r="N23" s="768"/>
      <c r="O23" s="768"/>
      <c r="P23" s="724" t="s">
        <v>131</v>
      </c>
      <c r="Q23" s="272" t="s">
        <v>93</v>
      </c>
      <c r="R23" s="742">
        <v>100</v>
      </c>
      <c r="S23" s="742">
        <v>100</v>
      </c>
      <c r="T23" s="742">
        <v>100</v>
      </c>
      <c r="U23" s="742">
        <v>100</v>
      </c>
      <c r="V23" s="742">
        <v>100</v>
      </c>
      <c r="W23" s="770"/>
      <c r="X23" s="770"/>
      <c r="Y23" s="785"/>
      <c r="Z23" s="880"/>
      <c r="AA23" s="744"/>
      <c r="AB23" s="587"/>
      <c r="AC23" s="587"/>
      <c r="AD23" s="588"/>
      <c r="AE23" s="588"/>
      <c r="AF23" s="588"/>
      <c r="AG23" s="588"/>
      <c r="AH23" s="588"/>
      <c r="AI23" s="588"/>
      <c r="AJ23" s="588"/>
      <c r="AK23" s="588"/>
      <c r="AL23" s="588"/>
      <c r="AM23" s="588"/>
      <c r="AN23" s="588"/>
      <c r="AO23" s="588"/>
      <c r="AP23" s="588"/>
      <c r="AQ23" s="588"/>
      <c r="AR23" s="588"/>
      <c r="AS23" s="588"/>
      <c r="AT23" s="357"/>
      <c r="AU23" s="357"/>
      <c r="AV23" s="789"/>
    </row>
    <row r="24" spans="1:48" s="1" customFormat="1" ht="120.75" customHeight="1">
      <c r="A24" s="842"/>
      <c r="B24" s="773"/>
      <c r="C24" s="845"/>
      <c r="D24" s="764"/>
      <c r="E24" s="767" t="s">
        <v>132</v>
      </c>
      <c r="F24" s="767" t="s">
        <v>133</v>
      </c>
      <c r="G24" s="767">
        <v>0</v>
      </c>
      <c r="H24" s="767">
        <v>0</v>
      </c>
      <c r="I24" s="764"/>
      <c r="J24" s="767" t="s">
        <v>134</v>
      </c>
      <c r="K24" s="767" t="s">
        <v>135</v>
      </c>
      <c r="L24" s="747">
        <v>69.7</v>
      </c>
      <c r="M24" s="747">
        <v>69.7</v>
      </c>
      <c r="N24" s="747"/>
      <c r="O24" s="747" t="s">
        <v>136</v>
      </c>
      <c r="P24" s="724" t="s">
        <v>137</v>
      </c>
      <c r="Q24" s="725" t="s">
        <v>72</v>
      </c>
      <c r="R24" s="725">
        <v>192</v>
      </c>
      <c r="S24" s="725">
        <v>48</v>
      </c>
      <c r="T24" s="725">
        <v>48</v>
      </c>
      <c r="U24" s="725">
        <v>48</v>
      </c>
      <c r="V24" s="725">
        <v>48</v>
      </c>
      <c r="W24" s="770"/>
      <c r="X24" s="770"/>
      <c r="Y24" s="785"/>
      <c r="Z24" s="880"/>
      <c r="AA24" s="745"/>
      <c r="AB24" s="587"/>
      <c r="AC24" s="587"/>
      <c r="AD24" s="588"/>
      <c r="AE24" s="589"/>
      <c r="AF24" s="588"/>
      <c r="AG24" s="588"/>
      <c r="AH24" s="588"/>
      <c r="AI24" s="588"/>
      <c r="AJ24" s="588"/>
      <c r="AK24" s="588"/>
      <c r="AL24" s="588"/>
      <c r="AM24" s="588"/>
      <c r="AN24" s="588"/>
      <c r="AO24" s="588"/>
      <c r="AP24" s="588"/>
      <c r="AQ24" s="588"/>
      <c r="AR24" s="588"/>
      <c r="AS24" s="588"/>
      <c r="AT24" s="357"/>
      <c r="AU24" s="357"/>
      <c r="AV24" s="789"/>
    </row>
    <row r="25" spans="1:48" s="1" customFormat="1" ht="120.75" customHeight="1">
      <c r="A25" s="842"/>
      <c r="B25" s="773"/>
      <c r="C25" s="845"/>
      <c r="D25" s="764"/>
      <c r="E25" s="764"/>
      <c r="F25" s="764"/>
      <c r="G25" s="764"/>
      <c r="H25" s="764"/>
      <c r="I25" s="764"/>
      <c r="J25" s="764"/>
      <c r="K25" s="764"/>
      <c r="L25" s="768"/>
      <c r="M25" s="768"/>
      <c r="N25" s="768"/>
      <c r="O25" s="768"/>
      <c r="P25" s="724" t="s">
        <v>138</v>
      </c>
      <c r="Q25" s="357" t="s">
        <v>72</v>
      </c>
      <c r="R25" s="357">
        <v>4</v>
      </c>
      <c r="S25" s="357">
        <v>1</v>
      </c>
      <c r="T25" s="357">
        <v>1</v>
      </c>
      <c r="U25" s="357">
        <v>1</v>
      </c>
      <c r="V25" s="357">
        <v>1</v>
      </c>
      <c r="W25" s="770"/>
      <c r="X25" s="770"/>
      <c r="Y25" s="785"/>
      <c r="Z25" s="880"/>
      <c r="AA25" s="745"/>
      <c r="AB25" s="587"/>
      <c r="AC25" s="587"/>
      <c r="AD25" s="588"/>
      <c r="AE25" s="589"/>
      <c r="AF25" s="588"/>
      <c r="AG25" s="588"/>
      <c r="AH25" s="588"/>
      <c r="AI25" s="588"/>
      <c r="AJ25" s="588"/>
      <c r="AK25" s="588"/>
      <c r="AL25" s="588"/>
      <c r="AM25" s="588"/>
      <c r="AN25" s="588"/>
      <c r="AO25" s="588"/>
      <c r="AP25" s="588"/>
      <c r="AQ25" s="588"/>
      <c r="AR25" s="588"/>
      <c r="AS25" s="588"/>
      <c r="AT25" s="357"/>
      <c r="AU25" s="357"/>
      <c r="AV25" s="789"/>
    </row>
    <row r="26" spans="1:48" s="1" customFormat="1" ht="120.75" customHeight="1">
      <c r="A26" s="842"/>
      <c r="B26" s="773"/>
      <c r="C26" s="845"/>
      <c r="D26" s="764"/>
      <c r="E26" s="764"/>
      <c r="F26" s="764"/>
      <c r="G26" s="764"/>
      <c r="H26" s="764"/>
      <c r="I26" s="764"/>
      <c r="J26" s="764"/>
      <c r="K26" s="764"/>
      <c r="L26" s="768"/>
      <c r="M26" s="768"/>
      <c r="N26" s="768"/>
      <c r="O26" s="768"/>
      <c r="P26" s="724" t="s">
        <v>139</v>
      </c>
      <c r="Q26" s="272" t="s">
        <v>93</v>
      </c>
      <c r="R26" s="272">
        <v>98</v>
      </c>
      <c r="S26" s="272">
        <v>98</v>
      </c>
      <c r="T26" s="272">
        <v>98</v>
      </c>
      <c r="U26" s="272">
        <v>98</v>
      </c>
      <c r="V26" s="272">
        <v>98</v>
      </c>
      <c r="W26" s="770"/>
      <c r="X26" s="770"/>
      <c r="Y26" s="785"/>
      <c r="Z26" s="880"/>
      <c r="AA26" s="745"/>
      <c r="AB26" s="587"/>
      <c r="AC26" s="587"/>
      <c r="AD26" s="588"/>
      <c r="AE26" s="589"/>
      <c r="AF26" s="588"/>
      <c r="AG26" s="588"/>
      <c r="AH26" s="588"/>
      <c r="AI26" s="588"/>
      <c r="AJ26" s="588"/>
      <c r="AK26" s="588"/>
      <c r="AL26" s="588"/>
      <c r="AM26" s="588"/>
      <c r="AN26" s="588"/>
      <c r="AO26" s="588"/>
      <c r="AP26" s="588"/>
      <c r="AQ26" s="588"/>
      <c r="AR26" s="588"/>
      <c r="AS26" s="588"/>
      <c r="AT26" s="357"/>
      <c r="AU26" s="357"/>
      <c r="AV26" s="789"/>
    </row>
    <row r="27" spans="1:48" s="1" customFormat="1" ht="120.75" customHeight="1">
      <c r="A27" s="842"/>
      <c r="B27" s="773"/>
      <c r="C27" s="845"/>
      <c r="D27" s="764"/>
      <c r="E27" s="764"/>
      <c r="F27" s="764"/>
      <c r="G27" s="764"/>
      <c r="H27" s="764"/>
      <c r="I27" s="764"/>
      <c r="J27" s="764"/>
      <c r="K27" s="764"/>
      <c r="L27" s="768"/>
      <c r="M27" s="768"/>
      <c r="N27" s="768"/>
      <c r="O27" s="768"/>
      <c r="P27" s="724" t="s">
        <v>140</v>
      </c>
      <c r="Q27" s="272" t="s">
        <v>93</v>
      </c>
      <c r="R27" s="272">
        <v>98</v>
      </c>
      <c r="S27" s="272">
        <v>98</v>
      </c>
      <c r="T27" s="272">
        <v>98</v>
      </c>
      <c r="U27" s="272">
        <v>98</v>
      </c>
      <c r="V27" s="272">
        <v>98</v>
      </c>
      <c r="W27" s="770"/>
      <c r="X27" s="770"/>
      <c r="Y27" s="785"/>
      <c r="Z27" s="880"/>
      <c r="AA27" s="745"/>
      <c r="AB27" s="587"/>
      <c r="AC27" s="587"/>
      <c r="AD27" s="588"/>
      <c r="AE27" s="589"/>
      <c r="AF27" s="588"/>
      <c r="AG27" s="588"/>
      <c r="AH27" s="588"/>
      <c r="AI27" s="588"/>
      <c r="AJ27" s="588"/>
      <c r="AK27" s="588"/>
      <c r="AL27" s="588"/>
      <c r="AM27" s="588"/>
      <c r="AN27" s="588"/>
      <c r="AO27" s="588"/>
      <c r="AP27" s="588"/>
      <c r="AQ27" s="588"/>
      <c r="AR27" s="588"/>
      <c r="AS27" s="588"/>
      <c r="AT27" s="357"/>
      <c r="AU27" s="357"/>
      <c r="AV27" s="789"/>
    </row>
    <row r="28" spans="1:48" s="1" customFormat="1" ht="120.75" customHeight="1">
      <c r="A28" s="842"/>
      <c r="B28" s="773"/>
      <c r="C28" s="845"/>
      <c r="D28" s="764"/>
      <c r="E28" s="764"/>
      <c r="F28" s="764"/>
      <c r="G28" s="764"/>
      <c r="H28" s="764"/>
      <c r="I28" s="764"/>
      <c r="J28" s="764"/>
      <c r="K28" s="764"/>
      <c r="L28" s="768"/>
      <c r="M28" s="768"/>
      <c r="N28" s="768"/>
      <c r="O28" s="768"/>
      <c r="P28" s="724" t="s">
        <v>141</v>
      </c>
      <c r="Q28" s="357" t="s">
        <v>142</v>
      </c>
      <c r="R28" s="357">
        <v>4</v>
      </c>
      <c r="S28" s="357">
        <v>1</v>
      </c>
      <c r="T28" s="357">
        <v>1</v>
      </c>
      <c r="U28" s="357">
        <v>1</v>
      </c>
      <c r="V28" s="357">
        <v>1</v>
      </c>
      <c r="W28" s="770"/>
      <c r="X28" s="770"/>
      <c r="Y28" s="785"/>
      <c r="Z28" s="880"/>
      <c r="AA28" s="745"/>
      <c r="AB28" s="587"/>
      <c r="AC28" s="587"/>
      <c r="AD28" s="588"/>
      <c r="AE28" s="589"/>
      <c r="AF28" s="588"/>
      <c r="AG28" s="588"/>
      <c r="AH28" s="588"/>
      <c r="AI28" s="588"/>
      <c r="AJ28" s="588"/>
      <c r="AK28" s="588"/>
      <c r="AL28" s="588"/>
      <c r="AM28" s="588"/>
      <c r="AN28" s="588"/>
      <c r="AO28" s="588"/>
      <c r="AP28" s="588"/>
      <c r="AQ28" s="588"/>
      <c r="AR28" s="588"/>
      <c r="AS28" s="588"/>
      <c r="AT28" s="357"/>
      <c r="AU28" s="357"/>
      <c r="AV28" s="789"/>
    </row>
    <row r="29" spans="1:48" s="1" customFormat="1" ht="120.75" customHeight="1">
      <c r="A29" s="842"/>
      <c r="B29" s="773"/>
      <c r="C29" s="845"/>
      <c r="D29" s="764"/>
      <c r="E29" s="764"/>
      <c r="F29" s="764"/>
      <c r="G29" s="764"/>
      <c r="H29" s="764"/>
      <c r="I29" s="764"/>
      <c r="J29" s="764"/>
      <c r="K29" s="764"/>
      <c r="L29" s="768"/>
      <c r="M29" s="768"/>
      <c r="N29" s="768"/>
      <c r="O29" s="768"/>
      <c r="P29" s="724" t="s">
        <v>143</v>
      </c>
      <c r="Q29" s="357" t="s">
        <v>142</v>
      </c>
      <c r="R29" s="357">
        <v>12</v>
      </c>
      <c r="S29" s="357">
        <v>3</v>
      </c>
      <c r="T29" s="357">
        <v>3</v>
      </c>
      <c r="U29" s="357">
        <v>3</v>
      </c>
      <c r="V29" s="357">
        <v>3</v>
      </c>
      <c r="W29" s="770"/>
      <c r="X29" s="770"/>
      <c r="Y29" s="785"/>
      <c r="Z29" s="880"/>
      <c r="AA29" s="745"/>
      <c r="AB29" s="587"/>
      <c r="AC29" s="587"/>
      <c r="AD29" s="588"/>
      <c r="AE29" s="589"/>
      <c r="AF29" s="588"/>
      <c r="AG29" s="588"/>
      <c r="AH29" s="588"/>
      <c r="AI29" s="588"/>
      <c r="AJ29" s="588"/>
      <c r="AK29" s="588"/>
      <c r="AL29" s="588"/>
      <c r="AM29" s="588"/>
      <c r="AN29" s="588"/>
      <c r="AO29" s="588"/>
      <c r="AP29" s="588"/>
      <c r="AQ29" s="588"/>
      <c r="AR29" s="588"/>
      <c r="AS29" s="588"/>
      <c r="AT29" s="357"/>
      <c r="AU29" s="357"/>
      <c r="AV29" s="789"/>
    </row>
    <row r="30" spans="1:48" s="1" customFormat="1" ht="120.75" customHeight="1">
      <c r="A30" s="842"/>
      <c r="B30" s="773"/>
      <c r="C30" s="845"/>
      <c r="D30" s="764"/>
      <c r="E30" s="764"/>
      <c r="F30" s="764"/>
      <c r="G30" s="764"/>
      <c r="H30" s="764"/>
      <c r="I30" s="764"/>
      <c r="J30" s="764"/>
      <c r="K30" s="764"/>
      <c r="L30" s="768"/>
      <c r="M30" s="768"/>
      <c r="N30" s="768"/>
      <c r="O30" s="768"/>
      <c r="P30" s="724" t="s">
        <v>144</v>
      </c>
      <c r="Q30" s="357" t="s">
        <v>142</v>
      </c>
      <c r="R30" s="357">
        <v>4</v>
      </c>
      <c r="S30" s="357">
        <v>1</v>
      </c>
      <c r="T30" s="357">
        <v>1</v>
      </c>
      <c r="U30" s="357">
        <v>1</v>
      </c>
      <c r="V30" s="357">
        <v>1</v>
      </c>
      <c r="W30" s="770"/>
      <c r="X30" s="770"/>
      <c r="Y30" s="785"/>
      <c r="Z30" s="880"/>
      <c r="AA30" s="745"/>
      <c r="AB30" s="587"/>
      <c r="AC30" s="587"/>
      <c r="AD30" s="588"/>
      <c r="AE30" s="589"/>
      <c r="AF30" s="588"/>
      <c r="AG30" s="588"/>
      <c r="AH30" s="588"/>
      <c r="AI30" s="588"/>
      <c r="AJ30" s="588"/>
      <c r="AK30" s="588"/>
      <c r="AL30" s="588"/>
      <c r="AM30" s="588"/>
      <c r="AN30" s="588"/>
      <c r="AO30" s="588"/>
      <c r="AP30" s="588"/>
      <c r="AQ30" s="588"/>
      <c r="AR30" s="588"/>
      <c r="AS30" s="588"/>
      <c r="AT30" s="357"/>
      <c r="AU30" s="357"/>
      <c r="AV30" s="789"/>
    </row>
    <row r="31" spans="1:48" s="1" customFormat="1" ht="120.75" customHeight="1">
      <c r="A31" s="842"/>
      <c r="B31" s="773"/>
      <c r="C31" s="845"/>
      <c r="D31" s="764"/>
      <c r="E31" s="764"/>
      <c r="F31" s="764"/>
      <c r="G31" s="764"/>
      <c r="H31" s="764"/>
      <c r="I31" s="764"/>
      <c r="J31" s="764"/>
      <c r="K31" s="764"/>
      <c r="L31" s="768"/>
      <c r="M31" s="768"/>
      <c r="N31" s="768"/>
      <c r="O31" s="768"/>
      <c r="P31" s="724" t="s">
        <v>145</v>
      </c>
      <c r="Q31" s="357" t="s">
        <v>142</v>
      </c>
      <c r="R31" s="357">
        <v>12</v>
      </c>
      <c r="S31" s="357">
        <v>3</v>
      </c>
      <c r="T31" s="357">
        <v>3</v>
      </c>
      <c r="U31" s="357">
        <v>3</v>
      </c>
      <c r="V31" s="357">
        <v>3</v>
      </c>
      <c r="W31" s="770"/>
      <c r="X31" s="770"/>
      <c r="Y31" s="785"/>
      <c r="Z31" s="880"/>
      <c r="AA31" s="745"/>
      <c r="AB31" s="587"/>
      <c r="AC31" s="587"/>
      <c r="AD31" s="588"/>
      <c r="AE31" s="589"/>
      <c r="AF31" s="588"/>
      <c r="AG31" s="588"/>
      <c r="AH31" s="588"/>
      <c r="AI31" s="588"/>
      <c r="AJ31" s="588"/>
      <c r="AK31" s="588"/>
      <c r="AL31" s="588"/>
      <c r="AM31" s="588"/>
      <c r="AN31" s="588"/>
      <c r="AO31" s="588"/>
      <c r="AP31" s="588"/>
      <c r="AQ31" s="588"/>
      <c r="AR31" s="588"/>
      <c r="AS31" s="588"/>
      <c r="AT31" s="357"/>
      <c r="AU31" s="357"/>
      <c r="AV31" s="789"/>
    </row>
    <row r="32" spans="1:48" s="1" customFormat="1" ht="120.75" customHeight="1">
      <c r="A32" s="842"/>
      <c r="B32" s="773"/>
      <c r="C32" s="845"/>
      <c r="D32" s="764"/>
      <c r="E32" s="764"/>
      <c r="F32" s="764"/>
      <c r="G32" s="764"/>
      <c r="H32" s="764"/>
      <c r="I32" s="764"/>
      <c r="J32" s="764"/>
      <c r="K32" s="764"/>
      <c r="L32" s="768"/>
      <c r="M32" s="768"/>
      <c r="N32" s="768"/>
      <c r="O32" s="768"/>
      <c r="P32" s="724" t="s">
        <v>146</v>
      </c>
      <c r="Q32" s="357" t="s">
        <v>142</v>
      </c>
      <c r="R32" s="357">
        <v>1320</v>
      </c>
      <c r="S32" s="357">
        <v>330</v>
      </c>
      <c r="T32" s="357">
        <v>330</v>
      </c>
      <c r="U32" s="357">
        <v>330</v>
      </c>
      <c r="V32" s="357">
        <v>330</v>
      </c>
      <c r="W32" s="770"/>
      <c r="X32" s="770"/>
      <c r="Y32" s="785"/>
      <c r="Z32" s="880"/>
      <c r="AA32" s="745"/>
      <c r="AB32" s="587"/>
      <c r="AC32" s="587"/>
      <c r="AD32" s="588"/>
      <c r="AE32" s="589"/>
      <c r="AF32" s="588"/>
      <c r="AG32" s="588"/>
      <c r="AH32" s="588"/>
      <c r="AI32" s="588"/>
      <c r="AJ32" s="588"/>
      <c r="AK32" s="588"/>
      <c r="AL32" s="588"/>
      <c r="AM32" s="588"/>
      <c r="AN32" s="588"/>
      <c r="AO32" s="588"/>
      <c r="AP32" s="588"/>
      <c r="AQ32" s="588"/>
      <c r="AR32" s="588"/>
      <c r="AS32" s="588"/>
      <c r="AT32" s="357"/>
      <c r="AU32" s="357"/>
      <c r="AV32" s="789"/>
    </row>
    <row r="33" spans="1:48" s="1" customFormat="1" ht="107.25" customHeight="1">
      <c r="A33" s="842"/>
      <c r="B33" s="773"/>
      <c r="C33" s="845"/>
      <c r="D33" s="764"/>
      <c r="E33" s="765"/>
      <c r="F33" s="765"/>
      <c r="G33" s="765"/>
      <c r="H33" s="765"/>
      <c r="I33" s="764"/>
      <c r="J33" s="765"/>
      <c r="K33" s="765"/>
      <c r="L33" s="748"/>
      <c r="M33" s="748"/>
      <c r="N33" s="748"/>
      <c r="O33" s="748"/>
      <c r="P33" s="724" t="s">
        <v>147</v>
      </c>
      <c r="Q33" s="357" t="s">
        <v>142</v>
      </c>
      <c r="R33" s="357">
        <v>24</v>
      </c>
      <c r="S33" s="357">
        <v>6</v>
      </c>
      <c r="T33" s="357">
        <v>6</v>
      </c>
      <c r="U33" s="357">
        <v>6</v>
      </c>
      <c r="V33" s="357">
        <v>6</v>
      </c>
      <c r="W33" s="770"/>
      <c r="X33" s="770"/>
      <c r="Y33" s="785"/>
      <c r="Z33" s="880"/>
      <c r="AA33" s="745"/>
      <c r="AB33" s="587"/>
      <c r="AC33" s="587"/>
      <c r="AD33" s="588"/>
      <c r="AE33" s="589"/>
      <c r="AF33" s="588"/>
      <c r="AG33" s="588"/>
      <c r="AH33" s="588"/>
      <c r="AI33" s="588"/>
      <c r="AJ33" s="588"/>
      <c r="AK33" s="588"/>
      <c r="AL33" s="588"/>
      <c r="AM33" s="588"/>
      <c r="AN33" s="588"/>
      <c r="AO33" s="588"/>
      <c r="AP33" s="588"/>
      <c r="AQ33" s="588"/>
      <c r="AR33" s="588"/>
      <c r="AS33" s="588"/>
      <c r="AT33" s="357" t="s">
        <v>126</v>
      </c>
      <c r="AU33" s="357" t="s">
        <v>126</v>
      </c>
      <c r="AV33" s="789"/>
    </row>
    <row r="34" spans="1:48" s="1" customFormat="1" ht="107.25" customHeight="1">
      <c r="A34" s="842"/>
      <c r="B34" s="773"/>
      <c r="C34" s="845"/>
      <c r="D34" s="764"/>
      <c r="E34" s="767" t="s">
        <v>148</v>
      </c>
      <c r="F34" s="767" t="s">
        <v>133</v>
      </c>
      <c r="G34" s="767">
        <v>0.97</v>
      </c>
      <c r="H34" s="767">
        <v>0.95</v>
      </c>
      <c r="I34" s="764"/>
      <c r="J34" s="767" t="s">
        <v>149</v>
      </c>
      <c r="K34" s="767" t="s">
        <v>93</v>
      </c>
      <c r="L34" s="747">
        <v>75</v>
      </c>
      <c r="M34" s="747">
        <v>80</v>
      </c>
      <c r="N34" s="747"/>
      <c r="O34" s="747" t="s">
        <v>150</v>
      </c>
      <c r="P34" s="724" t="s">
        <v>151</v>
      </c>
      <c r="Q34" s="742" t="s">
        <v>93</v>
      </c>
      <c r="R34" s="742">
        <v>100</v>
      </c>
      <c r="S34" s="742">
        <v>100</v>
      </c>
      <c r="T34" s="742">
        <v>100</v>
      </c>
      <c r="U34" s="742">
        <v>100</v>
      </c>
      <c r="V34" s="742">
        <v>100</v>
      </c>
      <c r="W34" s="770"/>
      <c r="X34" s="770"/>
      <c r="Y34" s="785"/>
      <c r="Z34" s="880"/>
      <c r="AA34" s="745"/>
      <c r="AB34" s="587"/>
      <c r="AC34" s="587"/>
      <c r="AD34" s="588"/>
      <c r="AE34" s="589"/>
      <c r="AF34" s="588"/>
      <c r="AG34" s="588"/>
      <c r="AH34" s="588"/>
      <c r="AI34" s="588"/>
      <c r="AJ34" s="588"/>
      <c r="AK34" s="588"/>
      <c r="AL34" s="588"/>
      <c r="AM34" s="588"/>
      <c r="AN34" s="588"/>
      <c r="AO34" s="588"/>
      <c r="AP34" s="588"/>
      <c r="AQ34" s="588"/>
      <c r="AR34" s="588"/>
      <c r="AS34" s="588"/>
      <c r="AT34" s="357"/>
      <c r="AU34" s="357"/>
      <c r="AV34" s="789"/>
    </row>
    <row r="35" spans="1:48" s="1" customFormat="1" ht="96" customHeight="1">
      <c r="A35" s="842"/>
      <c r="B35" s="773"/>
      <c r="C35" s="845"/>
      <c r="D35" s="764"/>
      <c r="E35" s="765"/>
      <c r="F35" s="765"/>
      <c r="G35" s="765"/>
      <c r="H35" s="765"/>
      <c r="I35" s="764"/>
      <c r="J35" s="765"/>
      <c r="K35" s="765"/>
      <c r="L35" s="748"/>
      <c r="M35" s="748"/>
      <c r="N35" s="748"/>
      <c r="O35" s="748"/>
      <c r="P35" s="724" t="s">
        <v>152</v>
      </c>
      <c r="Q35" s="742" t="s">
        <v>93</v>
      </c>
      <c r="R35" s="742">
        <v>85</v>
      </c>
      <c r="S35" s="742">
        <v>85</v>
      </c>
      <c r="T35" s="742">
        <v>85</v>
      </c>
      <c r="U35" s="742">
        <v>85</v>
      </c>
      <c r="V35" s="742">
        <v>85</v>
      </c>
      <c r="W35" s="770"/>
      <c r="X35" s="770"/>
      <c r="Y35" s="785"/>
      <c r="Z35" s="880"/>
      <c r="AA35" s="745"/>
      <c r="AB35" s="587"/>
      <c r="AC35" s="587"/>
      <c r="AD35" s="588"/>
      <c r="AE35" s="589"/>
      <c r="AF35" s="588"/>
      <c r="AG35" s="588"/>
      <c r="AH35" s="588"/>
      <c r="AI35" s="588"/>
      <c r="AJ35" s="588"/>
      <c r="AK35" s="588"/>
      <c r="AL35" s="588"/>
      <c r="AM35" s="588"/>
      <c r="AN35" s="588"/>
      <c r="AO35" s="588"/>
      <c r="AP35" s="588"/>
      <c r="AQ35" s="588"/>
      <c r="AR35" s="588"/>
      <c r="AS35" s="588"/>
      <c r="AT35" s="357" t="s">
        <v>126</v>
      </c>
      <c r="AU35" s="357" t="s">
        <v>126</v>
      </c>
      <c r="AV35" s="789"/>
    </row>
    <row r="36" spans="1:48" s="1" customFormat="1" ht="96" customHeight="1">
      <c r="A36" s="842"/>
      <c r="B36" s="773"/>
      <c r="C36" s="845"/>
      <c r="D36" s="764"/>
      <c r="E36" s="767" t="s">
        <v>153</v>
      </c>
      <c r="F36" s="767" t="s">
        <v>72</v>
      </c>
      <c r="G36" s="767">
        <v>0</v>
      </c>
      <c r="H36" s="327"/>
      <c r="I36" s="764"/>
      <c r="J36" s="767" t="s">
        <v>154</v>
      </c>
      <c r="K36" s="767" t="s">
        <v>93</v>
      </c>
      <c r="L36" s="747">
        <v>9</v>
      </c>
      <c r="M36" s="747">
        <v>20</v>
      </c>
      <c r="N36" s="605"/>
      <c r="O36" s="605"/>
      <c r="P36" s="724" t="s">
        <v>155</v>
      </c>
      <c r="Q36" s="742" t="s">
        <v>93</v>
      </c>
      <c r="R36" s="742">
        <v>100</v>
      </c>
      <c r="S36" s="742">
        <v>100</v>
      </c>
      <c r="T36" s="742">
        <v>100</v>
      </c>
      <c r="U36" s="742">
        <v>100</v>
      </c>
      <c r="V36" s="742">
        <v>100</v>
      </c>
      <c r="W36" s="770"/>
      <c r="X36" s="770"/>
      <c r="Y36" s="785"/>
      <c r="Z36" s="880"/>
      <c r="AA36" s="745"/>
      <c r="AB36" s="587"/>
      <c r="AC36" s="587"/>
      <c r="AD36" s="588"/>
      <c r="AE36" s="589"/>
      <c r="AF36" s="588"/>
      <c r="AG36" s="588"/>
      <c r="AH36" s="588"/>
      <c r="AI36" s="588"/>
      <c r="AJ36" s="588"/>
      <c r="AK36" s="588"/>
      <c r="AL36" s="588"/>
      <c r="AM36" s="588"/>
      <c r="AN36" s="588"/>
      <c r="AO36" s="588"/>
      <c r="AP36" s="588"/>
      <c r="AQ36" s="588"/>
      <c r="AR36" s="588"/>
      <c r="AS36" s="588"/>
      <c r="AT36" s="357"/>
      <c r="AU36" s="357"/>
      <c r="AV36" s="789"/>
    </row>
    <row r="37" spans="1:48" s="1" customFormat="1" ht="96" customHeight="1">
      <c r="A37" s="842"/>
      <c r="B37" s="773"/>
      <c r="C37" s="845"/>
      <c r="D37" s="764"/>
      <c r="E37" s="764"/>
      <c r="F37" s="764"/>
      <c r="G37" s="764"/>
      <c r="H37" s="327"/>
      <c r="I37" s="764"/>
      <c r="J37" s="764"/>
      <c r="K37" s="764"/>
      <c r="L37" s="768"/>
      <c r="M37" s="768"/>
      <c r="N37" s="605"/>
      <c r="O37" s="605"/>
      <c r="P37" s="724" t="s">
        <v>156</v>
      </c>
      <c r="Q37" s="742" t="s">
        <v>93</v>
      </c>
      <c r="R37" s="742">
        <v>85</v>
      </c>
      <c r="S37" s="742">
        <v>85</v>
      </c>
      <c r="T37" s="742">
        <v>85</v>
      </c>
      <c r="U37" s="742">
        <v>85</v>
      </c>
      <c r="V37" s="742">
        <v>85</v>
      </c>
      <c r="W37" s="770"/>
      <c r="X37" s="770"/>
      <c r="Y37" s="785"/>
      <c r="Z37" s="880"/>
      <c r="AA37" s="745"/>
      <c r="AB37" s="587"/>
      <c r="AC37" s="587"/>
      <c r="AD37" s="588"/>
      <c r="AE37" s="589"/>
      <c r="AF37" s="588"/>
      <c r="AG37" s="588"/>
      <c r="AH37" s="588"/>
      <c r="AI37" s="588"/>
      <c r="AJ37" s="588"/>
      <c r="AK37" s="588"/>
      <c r="AL37" s="588"/>
      <c r="AM37" s="588"/>
      <c r="AN37" s="588"/>
      <c r="AO37" s="588"/>
      <c r="AP37" s="588"/>
      <c r="AQ37" s="588"/>
      <c r="AR37" s="588"/>
      <c r="AS37" s="588"/>
      <c r="AT37" s="357"/>
      <c r="AU37" s="357"/>
      <c r="AV37" s="789"/>
    </row>
    <row r="38" spans="1:48" s="1" customFormat="1" ht="96" customHeight="1">
      <c r="A38" s="842"/>
      <c r="B38" s="773"/>
      <c r="C38" s="845"/>
      <c r="D38" s="764"/>
      <c r="E38" s="764"/>
      <c r="F38" s="764"/>
      <c r="G38" s="764"/>
      <c r="H38" s="327"/>
      <c r="I38" s="764"/>
      <c r="J38" s="764"/>
      <c r="K38" s="764"/>
      <c r="L38" s="768"/>
      <c r="M38" s="768"/>
      <c r="N38" s="605"/>
      <c r="O38" s="605"/>
      <c r="P38" s="724" t="s">
        <v>157</v>
      </c>
      <c r="Q38" s="742" t="s">
        <v>93</v>
      </c>
      <c r="R38" s="742">
        <v>100</v>
      </c>
      <c r="S38" s="742">
        <v>100</v>
      </c>
      <c r="T38" s="742">
        <v>100</v>
      </c>
      <c r="U38" s="742">
        <v>100</v>
      </c>
      <c r="V38" s="742">
        <v>100</v>
      </c>
      <c r="W38" s="770"/>
      <c r="X38" s="770"/>
      <c r="Y38" s="785"/>
      <c r="Z38" s="880"/>
      <c r="AA38" s="745"/>
      <c r="AB38" s="587"/>
      <c r="AC38" s="587"/>
      <c r="AD38" s="588"/>
      <c r="AE38" s="589"/>
      <c r="AF38" s="588"/>
      <c r="AG38" s="588"/>
      <c r="AH38" s="588"/>
      <c r="AI38" s="588"/>
      <c r="AJ38" s="588"/>
      <c r="AK38" s="588"/>
      <c r="AL38" s="588"/>
      <c r="AM38" s="588"/>
      <c r="AN38" s="588"/>
      <c r="AO38" s="588"/>
      <c r="AP38" s="588"/>
      <c r="AQ38" s="588"/>
      <c r="AR38" s="588"/>
      <c r="AS38" s="588"/>
      <c r="AT38" s="357"/>
      <c r="AU38" s="357"/>
      <c r="AV38" s="789"/>
    </row>
    <row r="39" spans="1:48" s="1" customFormat="1" ht="106.5" customHeight="1">
      <c r="A39" s="842"/>
      <c r="B39" s="773"/>
      <c r="C39" s="845"/>
      <c r="D39" s="764"/>
      <c r="E39" s="765"/>
      <c r="F39" s="765"/>
      <c r="G39" s="765"/>
      <c r="H39" s="39">
        <v>0</v>
      </c>
      <c r="I39" s="764"/>
      <c r="J39" s="765"/>
      <c r="K39" s="765"/>
      <c r="L39" s="748"/>
      <c r="M39" s="748"/>
      <c r="N39" s="747"/>
      <c r="O39" s="747" t="s">
        <v>123</v>
      </c>
      <c r="P39" s="724" t="s">
        <v>158</v>
      </c>
      <c r="Q39" s="742" t="s">
        <v>93</v>
      </c>
      <c r="R39" s="742">
        <v>70</v>
      </c>
      <c r="S39" s="742">
        <v>70</v>
      </c>
      <c r="T39" s="742">
        <v>70</v>
      </c>
      <c r="U39" s="742">
        <v>70</v>
      </c>
      <c r="V39" s="742">
        <v>70</v>
      </c>
      <c r="W39" s="770"/>
      <c r="X39" s="770"/>
      <c r="Y39" s="785"/>
      <c r="Z39" s="880"/>
      <c r="AA39" s="745"/>
      <c r="AB39" s="587"/>
      <c r="AC39" s="587"/>
      <c r="AD39" s="588"/>
      <c r="AE39" s="589"/>
      <c r="AF39" s="588"/>
      <c r="AG39" s="588"/>
      <c r="AH39" s="588"/>
      <c r="AI39" s="588"/>
      <c r="AJ39" s="588"/>
      <c r="AK39" s="588"/>
      <c r="AL39" s="588"/>
      <c r="AM39" s="588"/>
      <c r="AN39" s="588"/>
      <c r="AO39" s="588"/>
      <c r="AP39" s="588"/>
      <c r="AQ39" s="588"/>
      <c r="AR39" s="588"/>
      <c r="AS39" s="588"/>
      <c r="AT39" s="357" t="s">
        <v>126</v>
      </c>
      <c r="AU39" s="357" t="s">
        <v>126</v>
      </c>
      <c r="AV39" s="789"/>
    </row>
    <row r="40" spans="1:48" s="1" customFormat="1" ht="102" customHeight="1">
      <c r="A40" s="842"/>
      <c r="B40" s="773"/>
      <c r="C40" s="845"/>
      <c r="D40" s="764"/>
      <c r="E40" s="815" t="s">
        <v>159</v>
      </c>
      <c r="F40" s="767" t="s">
        <v>133</v>
      </c>
      <c r="G40" s="767">
        <v>1.1399999999999999</v>
      </c>
      <c r="H40" s="767">
        <v>1.18</v>
      </c>
      <c r="I40" s="764"/>
      <c r="J40" s="40" t="s">
        <v>160</v>
      </c>
      <c r="K40" s="40" t="s">
        <v>93</v>
      </c>
      <c r="L40" s="43">
        <v>75</v>
      </c>
      <c r="M40" s="43">
        <v>85</v>
      </c>
      <c r="N40" s="748"/>
      <c r="O40" s="748"/>
      <c r="P40" s="724" t="s">
        <v>161</v>
      </c>
      <c r="Q40" s="742" t="s">
        <v>93</v>
      </c>
      <c r="R40" s="742">
        <v>100</v>
      </c>
      <c r="S40" s="742">
        <v>100</v>
      </c>
      <c r="T40" s="742">
        <v>100</v>
      </c>
      <c r="U40" s="742">
        <v>100</v>
      </c>
      <c r="V40" s="742">
        <v>100</v>
      </c>
      <c r="W40" s="770"/>
      <c r="X40" s="770"/>
      <c r="Y40" s="785"/>
      <c r="Z40" s="880"/>
      <c r="AA40" s="745"/>
      <c r="AB40" s="587"/>
      <c r="AC40" s="587"/>
      <c r="AD40" s="588"/>
      <c r="AE40" s="589"/>
      <c r="AF40" s="588"/>
      <c r="AG40" s="588"/>
      <c r="AH40" s="588"/>
      <c r="AI40" s="588"/>
      <c r="AJ40" s="588"/>
      <c r="AK40" s="588"/>
      <c r="AL40" s="588"/>
      <c r="AM40" s="588"/>
      <c r="AN40" s="588"/>
      <c r="AO40" s="588"/>
      <c r="AP40" s="588"/>
      <c r="AQ40" s="588"/>
      <c r="AR40" s="588"/>
      <c r="AS40" s="588"/>
      <c r="AT40" s="357" t="s">
        <v>126</v>
      </c>
      <c r="AU40" s="357" t="s">
        <v>126</v>
      </c>
      <c r="AV40" s="789"/>
    </row>
    <row r="41" spans="1:48" s="1" customFormat="1" ht="102" customHeight="1">
      <c r="A41" s="842"/>
      <c r="B41" s="773"/>
      <c r="C41" s="845"/>
      <c r="D41" s="764"/>
      <c r="E41" s="849"/>
      <c r="F41" s="764"/>
      <c r="G41" s="764"/>
      <c r="H41" s="764"/>
      <c r="I41" s="764"/>
      <c r="J41" s="767" t="s">
        <v>162</v>
      </c>
      <c r="K41" s="767" t="s">
        <v>93</v>
      </c>
      <c r="L41" s="747">
        <v>8</v>
      </c>
      <c r="M41" s="747">
        <v>5</v>
      </c>
      <c r="N41" s="747"/>
      <c r="O41" s="747" t="s">
        <v>150</v>
      </c>
      <c r="P41" s="724" t="s">
        <v>163</v>
      </c>
      <c r="Q41" s="742" t="s">
        <v>93</v>
      </c>
      <c r="R41" s="743">
        <v>85</v>
      </c>
      <c r="S41" s="743">
        <v>85</v>
      </c>
      <c r="T41" s="743">
        <v>85</v>
      </c>
      <c r="U41" s="743">
        <v>85</v>
      </c>
      <c r="V41" s="743">
        <v>85</v>
      </c>
      <c r="W41" s="770"/>
      <c r="X41" s="770"/>
      <c r="Y41" s="785"/>
      <c r="Z41" s="880"/>
      <c r="AA41" s="745"/>
      <c r="AB41" s="587"/>
      <c r="AC41" s="587"/>
      <c r="AD41" s="588"/>
      <c r="AE41" s="589"/>
      <c r="AF41" s="588"/>
      <c r="AG41" s="588"/>
      <c r="AH41" s="588"/>
      <c r="AI41" s="588"/>
      <c r="AJ41" s="588"/>
      <c r="AK41" s="588"/>
      <c r="AL41" s="588"/>
      <c r="AM41" s="588"/>
      <c r="AN41" s="588"/>
      <c r="AO41" s="588"/>
      <c r="AP41" s="588"/>
      <c r="AQ41" s="588"/>
      <c r="AR41" s="588"/>
      <c r="AS41" s="588"/>
      <c r="AT41" s="357"/>
      <c r="AU41" s="357"/>
      <c r="AV41" s="789"/>
    </row>
    <row r="42" spans="1:48" s="1" customFormat="1" ht="78.75" customHeight="1">
      <c r="A42" s="842"/>
      <c r="B42" s="773"/>
      <c r="C42" s="845"/>
      <c r="D42" s="764"/>
      <c r="E42" s="849"/>
      <c r="F42" s="764"/>
      <c r="G42" s="764"/>
      <c r="H42" s="764"/>
      <c r="I42" s="764"/>
      <c r="J42" s="765"/>
      <c r="K42" s="765"/>
      <c r="L42" s="748"/>
      <c r="M42" s="748"/>
      <c r="N42" s="748"/>
      <c r="O42" s="768"/>
      <c r="P42" s="724" t="s">
        <v>164</v>
      </c>
      <c r="Q42" s="742" t="s">
        <v>93</v>
      </c>
      <c r="R42" s="742">
        <v>85</v>
      </c>
      <c r="S42" s="742">
        <v>85</v>
      </c>
      <c r="T42" s="742">
        <v>85</v>
      </c>
      <c r="U42" s="742">
        <v>85</v>
      </c>
      <c r="V42" s="742">
        <v>85</v>
      </c>
      <c r="W42" s="770"/>
      <c r="X42" s="770"/>
      <c r="Y42" s="785"/>
      <c r="Z42" s="880"/>
      <c r="AA42" s="745"/>
      <c r="AB42" s="587"/>
      <c r="AC42" s="587"/>
      <c r="AD42" s="588"/>
      <c r="AE42" s="589"/>
      <c r="AF42" s="588"/>
      <c r="AG42" s="588"/>
      <c r="AH42" s="588"/>
      <c r="AI42" s="588"/>
      <c r="AJ42" s="588"/>
      <c r="AK42" s="588"/>
      <c r="AL42" s="588"/>
      <c r="AM42" s="588"/>
      <c r="AN42" s="588"/>
      <c r="AO42" s="588"/>
      <c r="AP42" s="588"/>
      <c r="AQ42" s="588"/>
      <c r="AR42" s="588"/>
      <c r="AS42" s="588"/>
      <c r="AT42" s="357" t="s">
        <v>126</v>
      </c>
      <c r="AU42" s="357" t="s">
        <v>126</v>
      </c>
      <c r="AV42" s="789"/>
    </row>
    <row r="43" spans="1:48" s="1" customFormat="1" ht="96" customHeight="1">
      <c r="A43" s="842"/>
      <c r="B43" s="773"/>
      <c r="C43" s="845"/>
      <c r="D43" s="764"/>
      <c r="E43" s="849"/>
      <c r="F43" s="764"/>
      <c r="G43" s="764"/>
      <c r="H43" s="764"/>
      <c r="I43" s="764"/>
      <c r="J43" s="40" t="s">
        <v>165</v>
      </c>
      <c r="K43" s="40" t="s">
        <v>93</v>
      </c>
      <c r="L43" s="43">
        <v>100</v>
      </c>
      <c r="M43" s="43">
        <v>100</v>
      </c>
      <c r="N43" s="41"/>
      <c r="O43" s="748"/>
      <c r="P43" s="724" t="s">
        <v>164</v>
      </c>
      <c r="Q43" s="742" t="s">
        <v>93</v>
      </c>
      <c r="R43" s="742">
        <v>85</v>
      </c>
      <c r="S43" s="742">
        <v>85</v>
      </c>
      <c r="T43" s="742">
        <v>85</v>
      </c>
      <c r="U43" s="742">
        <v>85</v>
      </c>
      <c r="V43" s="742">
        <v>85</v>
      </c>
      <c r="W43" s="770"/>
      <c r="X43" s="770"/>
      <c r="Y43" s="785"/>
      <c r="Z43" s="880"/>
      <c r="AA43" s="745"/>
      <c r="AB43" s="587"/>
      <c r="AC43" s="587"/>
      <c r="AD43" s="588"/>
      <c r="AE43" s="589"/>
      <c r="AF43" s="588"/>
      <c r="AG43" s="588"/>
      <c r="AH43" s="588"/>
      <c r="AI43" s="588"/>
      <c r="AJ43" s="588"/>
      <c r="AK43" s="588"/>
      <c r="AL43" s="588"/>
      <c r="AM43" s="588"/>
      <c r="AN43" s="588"/>
      <c r="AO43" s="588"/>
      <c r="AP43" s="588"/>
      <c r="AQ43" s="588"/>
      <c r="AR43" s="588"/>
      <c r="AS43" s="588"/>
      <c r="AT43" s="357" t="s">
        <v>126</v>
      </c>
      <c r="AU43" s="357" t="s">
        <v>126</v>
      </c>
      <c r="AV43" s="789"/>
    </row>
    <row r="44" spans="1:48" s="1" customFormat="1" ht="93" customHeight="1">
      <c r="A44" s="842"/>
      <c r="B44" s="773"/>
      <c r="C44" s="845"/>
      <c r="D44" s="764"/>
      <c r="E44" s="849"/>
      <c r="F44" s="764"/>
      <c r="G44" s="764"/>
      <c r="H44" s="764"/>
      <c r="I44" s="767" t="s">
        <v>166</v>
      </c>
      <c r="J44" s="767" t="s">
        <v>167</v>
      </c>
      <c r="K44" s="767" t="s">
        <v>72</v>
      </c>
      <c r="L44" s="767">
        <v>1</v>
      </c>
      <c r="M44" s="767">
        <v>1</v>
      </c>
      <c r="N44" s="41"/>
      <c r="O44" s="43" t="s">
        <v>168</v>
      </c>
      <c r="P44" s="721" t="s">
        <v>169</v>
      </c>
      <c r="Q44" s="272" t="s">
        <v>93</v>
      </c>
      <c r="R44" s="272">
        <v>95</v>
      </c>
      <c r="S44" s="272">
        <v>95</v>
      </c>
      <c r="T44" s="272">
        <v>95</v>
      </c>
      <c r="U44" s="272">
        <v>95</v>
      </c>
      <c r="V44" s="272">
        <v>95</v>
      </c>
      <c r="W44" s="770"/>
      <c r="X44" s="770"/>
      <c r="Y44" s="785"/>
      <c r="Z44" s="880"/>
      <c r="AA44" s="745"/>
      <c r="AB44" s="587"/>
      <c r="AC44" s="587"/>
      <c r="AD44" s="588"/>
      <c r="AE44" s="589"/>
      <c r="AF44" s="588"/>
      <c r="AG44" s="588"/>
      <c r="AH44" s="588"/>
      <c r="AI44" s="588"/>
      <c r="AJ44" s="588"/>
      <c r="AK44" s="588"/>
      <c r="AL44" s="588"/>
      <c r="AM44" s="588"/>
      <c r="AN44" s="588"/>
      <c r="AO44" s="588"/>
      <c r="AP44" s="588"/>
      <c r="AQ44" s="588"/>
      <c r="AR44" s="588"/>
      <c r="AS44" s="588"/>
      <c r="AT44" s="357" t="s">
        <v>126</v>
      </c>
      <c r="AU44" s="357" t="s">
        <v>126</v>
      </c>
      <c r="AV44" s="789"/>
    </row>
    <row r="45" spans="1:48" s="1" customFormat="1" ht="93" customHeight="1">
      <c r="A45" s="842"/>
      <c r="B45" s="773"/>
      <c r="C45" s="845"/>
      <c r="D45" s="764"/>
      <c r="E45" s="849"/>
      <c r="F45" s="764"/>
      <c r="G45" s="764"/>
      <c r="H45" s="764"/>
      <c r="I45" s="764"/>
      <c r="J45" s="764"/>
      <c r="K45" s="764"/>
      <c r="L45" s="764"/>
      <c r="M45" s="764"/>
      <c r="N45" s="41"/>
      <c r="O45" s="43"/>
      <c r="P45" s="721" t="s">
        <v>170</v>
      </c>
      <c r="Q45" s="272" t="s">
        <v>93</v>
      </c>
      <c r="R45" s="272">
        <v>100</v>
      </c>
      <c r="S45" s="272">
        <v>100</v>
      </c>
      <c r="T45" s="272">
        <v>100</v>
      </c>
      <c r="U45" s="272">
        <v>100</v>
      </c>
      <c r="V45" s="272">
        <v>100</v>
      </c>
      <c r="W45" s="770"/>
      <c r="X45" s="770"/>
      <c r="Y45" s="785"/>
      <c r="Z45" s="880"/>
      <c r="AA45" s="745"/>
      <c r="AB45" s="587"/>
      <c r="AC45" s="587"/>
      <c r="AD45" s="588"/>
      <c r="AE45" s="589"/>
      <c r="AF45" s="588"/>
      <c r="AG45" s="588"/>
      <c r="AH45" s="588"/>
      <c r="AI45" s="588"/>
      <c r="AJ45" s="588"/>
      <c r="AK45" s="588"/>
      <c r="AL45" s="588"/>
      <c r="AM45" s="588"/>
      <c r="AN45" s="588"/>
      <c r="AO45" s="588"/>
      <c r="AP45" s="588"/>
      <c r="AQ45" s="588"/>
      <c r="AR45" s="588"/>
      <c r="AS45" s="588"/>
      <c r="AT45" s="357"/>
      <c r="AU45" s="357"/>
      <c r="AV45" s="789"/>
    </row>
    <row r="46" spans="1:48" s="1" customFormat="1" ht="93" customHeight="1">
      <c r="A46" s="842"/>
      <c r="B46" s="773"/>
      <c r="C46" s="845"/>
      <c r="D46" s="764"/>
      <c r="E46" s="849"/>
      <c r="F46" s="764"/>
      <c r="G46" s="764"/>
      <c r="H46" s="764"/>
      <c r="I46" s="764"/>
      <c r="J46" s="764"/>
      <c r="K46" s="764"/>
      <c r="L46" s="764"/>
      <c r="M46" s="764"/>
      <c r="N46" s="41"/>
      <c r="O46" s="43"/>
      <c r="P46" s="721" t="s">
        <v>171</v>
      </c>
      <c r="Q46" s="272" t="s">
        <v>93</v>
      </c>
      <c r="R46" s="272">
        <v>90</v>
      </c>
      <c r="S46" s="272">
        <v>90</v>
      </c>
      <c r="T46" s="272">
        <v>90</v>
      </c>
      <c r="U46" s="272">
        <v>90</v>
      </c>
      <c r="V46" s="272">
        <v>90</v>
      </c>
      <c r="W46" s="770"/>
      <c r="X46" s="770"/>
      <c r="Y46" s="785"/>
      <c r="Z46" s="880"/>
      <c r="AA46" s="745"/>
      <c r="AB46" s="587"/>
      <c r="AC46" s="587"/>
      <c r="AD46" s="588"/>
      <c r="AE46" s="589"/>
      <c r="AF46" s="588"/>
      <c r="AG46" s="588"/>
      <c r="AH46" s="588"/>
      <c r="AI46" s="588"/>
      <c r="AJ46" s="588"/>
      <c r="AK46" s="588"/>
      <c r="AL46" s="588"/>
      <c r="AM46" s="588"/>
      <c r="AN46" s="588"/>
      <c r="AO46" s="588"/>
      <c r="AP46" s="588"/>
      <c r="AQ46" s="588"/>
      <c r="AR46" s="588"/>
      <c r="AS46" s="588"/>
      <c r="AT46" s="357"/>
      <c r="AU46" s="357"/>
      <c r="AV46" s="789"/>
    </row>
    <row r="47" spans="1:48" s="1" customFormat="1" ht="93" customHeight="1">
      <c r="A47" s="842"/>
      <c r="B47" s="773"/>
      <c r="C47" s="845"/>
      <c r="D47" s="764"/>
      <c r="E47" s="849"/>
      <c r="F47" s="764"/>
      <c r="G47" s="764"/>
      <c r="H47" s="764"/>
      <c r="I47" s="764"/>
      <c r="J47" s="764"/>
      <c r="K47" s="764"/>
      <c r="L47" s="764"/>
      <c r="M47" s="764"/>
      <c r="N47" s="41"/>
      <c r="O47" s="43"/>
      <c r="P47" s="721" t="s">
        <v>172</v>
      </c>
      <c r="Q47" s="272" t="s">
        <v>93</v>
      </c>
      <c r="R47" s="272">
        <v>90</v>
      </c>
      <c r="S47" s="272">
        <v>90</v>
      </c>
      <c r="T47" s="272">
        <v>90</v>
      </c>
      <c r="U47" s="272">
        <v>90</v>
      </c>
      <c r="V47" s="272">
        <v>90</v>
      </c>
      <c r="W47" s="770"/>
      <c r="X47" s="770"/>
      <c r="Y47" s="785"/>
      <c r="Z47" s="880"/>
      <c r="AA47" s="745"/>
      <c r="AB47" s="587"/>
      <c r="AC47" s="587"/>
      <c r="AD47" s="588"/>
      <c r="AE47" s="589"/>
      <c r="AF47" s="588"/>
      <c r="AG47" s="588"/>
      <c r="AH47" s="588"/>
      <c r="AI47" s="588"/>
      <c r="AJ47" s="588"/>
      <c r="AK47" s="588"/>
      <c r="AL47" s="588"/>
      <c r="AM47" s="588"/>
      <c r="AN47" s="588"/>
      <c r="AO47" s="588"/>
      <c r="AP47" s="588"/>
      <c r="AQ47" s="588"/>
      <c r="AR47" s="588"/>
      <c r="AS47" s="588"/>
      <c r="AT47" s="357"/>
      <c r="AU47" s="357"/>
      <c r="AV47" s="789"/>
    </row>
    <row r="48" spans="1:48" s="1" customFormat="1" ht="93" customHeight="1">
      <c r="A48" s="842"/>
      <c r="B48" s="773"/>
      <c r="C48" s="845"/>
      <c r="D48" s="764"/>
      <c r="E48" s="849"/>
      <c r="F48" s="764"/>
      <c r="G48" s="764"/>
      <c r="H48" s="764"/>
      <c r="I48" s="764"/>
      <c r="J48" s="764"/>
      <c r="K48" s="764"/>
      <c r="L48" s="764"/>
      <c r="M48" s="764"/>
      <c r="N48" s="41"/>
      <c r="O48" s="43"/>
      <c r="P48" s="721" t="s">
        <v>173</v>
      </c>
      <c r="Q48" s="357" t="s">
        <v>72</v>
      </c>
      <c r="R48" s="357">
        <v>12</v>
      </c>
      <c r="S48" s="357">
        <v>3</v>
      </c>
      <c r="T48" s="357">
        <v>3</v>
      </c>
      <c r="U48" s="357">
        <v>3</v>
      </c>
      <c r="V48" s="357">
        <v>3</v>
      </c>
      <c r="W48" s="770"/>
      <c r="X48" s="770"/>
      <c r="Y48" s="785"/>
      <c r="Z48" s="880"/>
      <c r="AA48" s="745"/>
      <c r="AB48" s="587"/>
      <c r="AC48" s="587"/>
      <c r="AD48" s="588"/>
      <c r="AE48" s="589"/>
      <c r="AF48" s="588"/>
      <c r="AG48" s="588"/>
      <c r="AH48" s="588"/>
      <c r="AI48" s="588"/>
      <c r="AJ48" s="588"/>
      <c r="AK48" s="588"/>
      <c r="AL48" s="588"/>
      <c r="AM48" s="588"/>
      <c r="AN48" s="588"/>
      <c r="AO48" s="588"/>
      <c r="AP48" s="588"/>
      <c r="AQ48" s="588"/>
      <c r="AR48" s="588"/>
      <c r="AS48" s="588"/>
      <c r="AT48" s="357"/>
      <c r="AU48" s="357"/>
      <c r="AV48" s="789"/>
    </row>
    <row r="49" spans="1:50" s="1" customFormat="1" ht="93" customHeight="1">
      <c r="A49" s="842"/>
      <c r="B49" s="773"/>
      <c r="C49" s="845"/>
      <c r="D49" s="764"/>
      <c r="E49" s="849"/>
      <c r="F49" s="764"/>
      <c r="G49" s="764"/>
      <c r="H49" s="764"/>
      <c r="I49" s="764"/>
      <c r="J49" s="765"/>
      <c r="K49" s="765"/>
      <c r="L49" s="765"/>
      <c r="M49" s="765"/>
      <c r="N49" s="41"/>
      <c r="O49" s="43"/>
      <c r="P49" s="721" t="s">
        <v>174</v>
      </c>
      <c r="Q49" s="357" t="s">
        <v>72</v>
      </c>
      <c r="R49" s="357">
        <v>12</v>
      </c>
      <c r="S49" s="357">
        <v>3</v>
      </c>
      <c r="T49" s="357">
        <v>3</v>
      </c>
      <c r="U49" s="357">
        <v>3</v>
      </c>
      <c r="V49" s="357">
        <v>3</v>
      </c>
      <c r="W49" s="770"/>
      <c r="X49" s="770"/>
      <c r="Y49" s="785"/>
      <c r="Z49" s="880"/>
      <c r="AA49" s="745"/>
      <c r="AB49" s="587"/>
      <c r="AC49" s="587"/>
      <c r="AD49" s="588"/>
      <c r="AE49" s="589"/>
      <c r="AF49" s="588"/>
      <c r="AG49" s="588"/>
      <c r="AH49" s="588"/>
      <c r="AI49" s="588"/>
      <c r="AJ49" s="588"/>
      <c r="AK49" s="588"/>
      <c r="AL49" s="588"/>
      <c r="AM49" s="588"/>
      <c r="AN49" s="588"/>
      <c r="AO49" s="588"/>
      <c r="AP49" s="588"/>
      <c r="AQ49" s="588"/>
      <c r="AR49" s="588"/>
      <c r="AS49" s="588"/>
      <c r="AT49" s="357"/>
      <c r="AU49" s="357"/>
      <c r="AV49" s="789"/>
    </row>
    <row r="50" spans="1:50" s="1" customFormat="1" ht="93" customHeight="1">
      <c r="A50" s="842"/>
      <c r="B50" s="773"/>
      <c r="C50" s="845"/>
      <c r="D50" s="764"/>
      <c r="E50" s="849"/>
      <c r="F50" s="764"/>
      <c r="G50" s="764"/>
      <c r="H50" s="764"/>
      <c r="I50" s="764"/>
      <c r="J50" s="767" t="s">
        <v>175</v>
      </c>
      <c r="K50" s="767" t="s">
        <v>93</v>
      </c>
      <c r="L50" s="747" t="s">
        <v>69</v>
      </c>
      <c r="M50" s="747">
        <v>80</v>
      </c>
      <c r="N50" s="41"/>
      <c r="O50" s="43"/>
      <c r="P50" s="721" t="s">
        <v>176</v>
      </c>
      <c r="Q50" s="273" t="s">
        <v>93</v>
      </c>
      <c r="R50" s="272">
        <v>95</v>
      </c>
      <c r="S50" s="272">
        <v>95</v>
      </c>
      <c r="T50" s="272">
        <v>95</v>
      </c>
      <c r="U50" s="272">
        <v>95</v>
      </c>
      <c r="V50" s="272">
        <v>95</v>
      </c>
      <c r="W50" s="770"/>
      <c r="X50" s="770"/>
      <c r="Y50" s="785"/>
      <c r="Z50" s="880"/>
      <c r="AA50" s="745"/>
      <c r="AB50" s="587"/>
      <c r="AC50" s="587"/>
      <c r="AD50" s="588"/>
      <c r="AE50" s="589"/>
      <c r="AF50" s="588"/>
      <c r="AG50" s="588"/>
      <c r="AH50" s="588"/>
      <c r="AI50" s="588"/>
      <c r="AJ50" s="588"/>
      <c r="AK50" s="588"/>
      <c r="AL50" s="588"/>
      <c r="AM50" s="588"/>
      <c r="AN50" s="588"/>
      <c r="AO50" s="588"/>
      <c r="AP50" s="588"/>
      <c r="AQ50" s="588"/>
      <c r="AR50" s="588"/>
      <c r="AS50" s="588"/>
      <c r="AT50" s="357"/>
      <c r="AU50" s="357"/>
      <c r="AV50" s="789"/>
    </row>
    <row r="51" spans="1:50" s="1" customFormat="1" ht="99.75" customHeight="1">
      <c r="A51" s="842"/>
      <c r="B51" s="773"/>
      <c r="C51" s="845"/>
      <c r="D51" s="764"/>
      <c r="E51" s="849"/>
      <c r="F51" s="764"/>
      <c r="G51" s="764"/>
      <c r="H51" s="764"/>
      <c r="I51" s="765"/>
      <c r="J51" s="765"/>
      <c r="K51" s="765"/>
      <c r="L51" s="748"/>
      <c r="M51" s="748"/>
      <c r="N51" s="41"/>
      <c r="O51" s="43" t="s">
        <v>177</v>
      </c>
      <c r="P51" s="721" t="s">
        <v>178</v>
      </c>
      <c r="Q51" s="273" t="s">
        <v>93</v>
      </c>
      <c r="R51" s="272">
        <v>95</v>
      </c>
      <c r="S51" s="272">
        <v>95</v>
      </c>
      <c r="T51" s="272">
        <v>95</v>
      </c>
      <c r="U51" s="272">
        <v>95</v>
      </c>
      <c r="V51" s="272">
        <v>95</v>
      </c>
      <c r="W51" s="770"/>
      <c r="X51" s="770"/>
      <c r="Y51" s="785"/>
      <c r="Z51" s="880"/>
      <c r="AA51" s="745"/>
      <c r="AB51" s="587"/>
      <c r="AC51" s="587"/>
      <c r="AD51" s="588"/>
      <c r="AE51" s="589"/>
      <c r="AF51" s="588"/>
      <c r="AG51" s="588"/>
      <c r="AH51" s="588"/>
      <c r="AI51" s="588"/>
      <c r="AJ51" s="588"/>
      <c r="AK51" s="588"/>
      <c r="AL51" s="588"/>
      <c r="AM51" s="588"/>
      <c r="AN51" s="588"/>
      <c r="AO51" s="588"/>
      <c r="AP51" s="588"/>
      <c r="AQ51" s="588"/>
      <c r="AR51" s="588"/>
      <c r="AS51" s="588"/>
      <c r="AT51" s="357" t="s">
        <v>126</v>
      </c>
      <c r="AU51" s="357" t="s">
        <v>126</v>
      </c>
      <c r="AV51" s="789"/>
      <c r="AX51" s="145"/>
    </row>
    <row r="52" spans="1:50" s="1" customFormat="1" ht="78.75" customHeight="1">
      <c r="A52" s="842"/>
      <c r="B52" s="773"/>
      <c r="C52" s="845"/>
      <c r="D52" s="764"/>
      <c r="E52" s="849"/>
      <c r="F52" s="764"/>
      <c r="G52" s="764"/>
      <c r="H52" s="764"/>
      <c r="I52" s="767" t="s">
        <v>179</v>
      </c>
      <c r="J52" s="40" t="s">
        <v>180</v>
      </c>
      <c r="K52" s="40" t="s">
        <v>181</v>
      </c>
      <c r="L52" s="43">
        <v>1.5</v>
      </c>
      <c r="M52" s="43">
        <v>1.5</v>
      </c>
      <c r="N52" s="41"/>
      <c r="O52" s="43" t="s">
        <v>182</v>
      </c>
      <c r="P52" s="721" t="s">
        <v>183</v>
      </c>
      <c r="Q52" s="357" t="s">
        <v>142</v>
      </c>
      <c r="R52" s="357">
        <v>12</v>
      </c>
      <c r="S52" s="357">
        <v>3</v>
      </c>
      <c r="T52" s="357">
        <v>3</v>
      </c>
      <c r="U52" s="357">
        <v>3</v>
      </c>
      <c r="V52" s="357">
        <v>3</v>
      </c>
      <c r="W52" s="770"/>
      <c r="X52" s="770"/>
      <c r="Y52" s="785"/>
      <c r="Z52" s="880"/>
      <c r="AA52" s="745"/>
      <c r="AB52" s="587"/>
      <c r="AC52" s="587"/>
      <c r="AD52" s="588"/>
      <c r="AE52" s="589"/>
      <c r="AF52" s="588"/>
      <c r="AG52" s="588"/>
      <c r="AH52" s="588"/>
      <c r="AI52" s="588"/>
      <c r="AJ52" s="588"/>
      <c r="AK52" s="588"/>
      <c r="AL52" s="588"/>
      <c r="AM52" s="588"/>
      <c r="AN52" s="588"/>
      <c r="AO52" s="588"/>
      <c r="AP52" s="588"/>
      <c r="AQ52" s="588"/>
      <c r="AR52" s="588"/>
      <c r="AS52" s="588"/>
      <c r="AT52" s="357" t="s">
        <v>126</v>
      </c>
      <c r="AU52" s="357" t="s">
        <v>126</v>
      </c>
      <c r="AV52" s="789"/>
    </row>
    <row r="53" spans="1:50" s="1" customFormat="1" ht="88.5" customHeight="1">
      <c r="A53" s="842"/>
      <c r="B53" s="773"/>
      <c r="C53" s="845"/>
      <c r="D53" s="764"/>
      <c r="E53" s="849"/>
      <c r="F53" s="764"/>
      <c r="G53" s="764"/>
      <c r="H53" s="764"/>
      <c r="I53" s="764"/>
      <c r="J53" s="40" t="s">
        <v>184</v>
      </c>
      <c r="K53" s="40" t="s">
        <v>181</v>
      </c>
      <c r="L53" s="43">
        <v>1.59</v>
      </c>
      <c r="M53" s="43">
        <v>1.5</v>
      </c>
      <c r="N53" s="41"/>
      <c r="O53" s="43" t="s">
        <v>185</v>
      </c>
      <c r="P53" s="721" t="s">
        <v>186</v>
      </c>
      <c r="Q53" s="357" t="s">
        <v>142</v>
      </c>
      <c r="R53" s="357">
        <v>12</v>
      </c>
      <c r="S53" s="357">
        <v>3</v>
      </c>
      <c r="T53" s="357">
        <v>3</v>
      </c>
      <c r="U53" s="357">
        <v>3</v>
      </c>
      <c r="V53" s="357">
        <v>3</v>
      </c>
      <c r="W53" s="770"/>
      <c r="X53" s="770"/>
      <c r="Y53" s="785"/>
      <c r="Z53" s="880"/>
      <c r="AA53" s="745"/>
      <c r="AB53" s="587"/>
      <c r="AC53" s="587"/>
      <c r="AD53" s="588"/>
      <c r="AE53" s="589"/>
      <c r="AF53" s="588"/>
      <c r="AG53" s="588"/>
      <c r="AH53" s="588"/>
      <c r="AI53" s="588"/>
      <c r="AJ53" s="588"/>
      <c r="AK53" s="588"/>
      <c r="AL53" s="588"/>
      <c r="AM53" s="588"/>
      <c r="AN53" s="588"/>
      <c r="AO53" s="588"/>
      <c r="AP53" s="588"/>
      <c r="AQ53" s="588"/>
      <c r="AR53" s="588"/>
      <c r="AS53" s="588"/>
      <c r="AT53" s="357" t="s">
        <v>126</v>
      </c>
      <c r="AU53" s="357" t="s">
        <v>126</v>
      </c>
      <c r="AV53" s="789"/>
    </row>
    <row r="54" spans="1:50" s="1" customFormat="1" ht="75" customHeight="1">
      <c r="A54" s="842"/>
      <c r="B54" s="773"/>
      <c r="C54" s="845"/>
      <c r="D54" s="764"/>
      <c r="E54" s="849"/>
      <c r="F54" s="764"/>
      <c r="G54" s="764"/>
      <c r="H54" s="764"/>
      <c r="I54" s="764"/>
      <c r="J54" s="815" t="s">
        <v>187</v>
      </c>
      <c r="K54" s="767" t="s">
        <v>93</v>
      </c>
      <c r="L54" s="747">
        <v>73</v>
      </c>
      <c r="M54" s="747">
        <v>85</v>
      </c>
      <c r="N54" s="41"/>
      <c r="O54" s="43" t="s">
        <v>188</v>
      </c>
      <c r="P54" s="721" t="s">
        <v>189</v>
      </c>
      <c r="Q54" s="357" t="s">
        <v>142</v>
      </c>
      <c r="R54" s="357">
        <v>12</v>
      </c>
      <c r="S54" s="357">
        <v>3</v>
      </c>
      <c r="T54" s="357">
        <v>3</v>
      </c>
      <c r="U54" s="357">
        <v>3</v>
      </c>
      <c r="V54" s="357">
        <v>3</v>
      </c>
      <c r="W54" s="770"/>
      <c r="X54" s="770"/>
      <c r="Y54" s="785"/>
      <c r="Z54" s="880"/>
      <c r="AA54" s="745"/>
      <c r="AB54" s="587"/>
      <c r="AC54" s="587"/>
      <c r="AD54" s="588"/>
      <c r="AE54" s="589"/>
      <c r="AF54" s="588"/>
      <c r="AG54" s="588"/>
      <c r="AH54" s="588"/>
      <c r="AI54" s="588"/>
      <c r="AJ54" s="588"/>
      <c r="AK54" s="588"/>
      <c r="AL54" s="588"/>
      <c r="AM54" s="588"/>
      <c r="AN54" s="588"/>
      <c r="AO54" s="588"/>
      <c r="AP54" s="588"/>
      <c r="AQ54" s="588"/>
      <c r="AR54" s="588"/>
      <c r="AS54" s="588"/>
      <c r="AT54" s="357" t="s">
        <v>126</v>
      </c>
      <c r="AU54" s="357" t="s">
        <v>126</v>
      </c>
      <c r="AV54" s="789"/>
    </row>
    <row r="55" spans="1:50" s="1" customFormat="1" ht="99.75" customHeight="1" thickBot="1">
      <c r="A55" s="842"/>
      <c r="B55" s="773"/>
      <c r="C55" s="846"/>
      <c r="D55" s="817"/>
      <c r="E55" s="816"/>
      <c r="F55" s="817"/>
      <c r="G55" s="817"/>
      <c r="H55" s="817"/>
      <c r="I55" s="817"/>
      <c r="J55" s="816"/>
      <c r="K55" s="817"/>
      <c r="L55" s="888"/>
      <c r="M55" s="888"/>
      <c r="N55" s="46"/>
      <c r="O55" s="47" t="s">
        <v>190</v>
      </c>
      <c r="P55" s="721" t="s">
        <v>191</v>
      </c>
      <c r="Q55" s="357" t="s">
        <v>142</v>
      </c>
      <c r="R55" s="357">
        <v>4</v>
      </c>
      <c r="S55" s="357">
        <v>1</v>
      </c>
      <c r="T55" s="357">
        <v>1</v>
      </c>
      <c r="U55" s="357">
        <v>1</v>
      </c>
      <c r="V55" s="357">
        <v>1</v>
      </c>
      <c r="W55" s="776"/>
      <c r="X55" s="771"/>
      <c r="Y55" s="787"/>
      <c r="Z55" s="881"/>
      <c r="AA55" s="745"/>
      <c r="AB55" s="587"/>
      <c r="AC55" s="587"/>
      <c r="AD55" s="588"/>
      <c r="AE55" s="589"/>
      <c r="AF55" s="588"/>
      <c r="AG55" s="588"/>
      <c r="AH55" s="588"/>
      <c r="AI55" s="588"/>
      <c r="AJ55" s="588"/>
      <c r="AK55" s="588"/>
      <c r="AL55" s="588"/>
      <c r="AM55" s="588"/>
      <c r="AN55" s="588"/>
      <c r="AO55" s="588"/>
      <c r="AP55" s="588"/>
      <c r="AQ55" s="588"/>
      <c r="AR55" s="588"/>
      <c r="AS55" s="588"/>
      <c r="AT55" s="357" t="s">
        <v>126</v>
      </c>
      <c r="AU55" s="357" t="s">
        <v>126</v>
      </c>
      <c r="AV55" s="790"/>
    </row>
    <row r="56" spans="1:50" s="1" customFormat="1" ht="99.75" customHeight="1" thickBot="1">
      <c r="A56" s="842"/>
      <c r="B56" s="773"/>
      <c r="C56" s="885" t="s">
        <v>192</v>
      </c>
      <c r="D56" s="763" t="s">
        <v>193</v>
      </c>
      <c r="E56" s="763" t="s">
        <v>194</v>
      </c>
      <c r="F56" s="763" t="s">
        <v>68</v>
      </c>
      <c r="G56" s="763" t="s">
        <v>69</v>
      </c>
      <c r="H56" s="763" t="s">
        <v>195</v>
      </c>
      <c r="I56" s="763" t="s">
        <v>196</v>
      </c>
      <c r="J56" s="339" t="s">
        <v>197</v>
      </c>
      <c r="K56" s="339" t="s">
        <v>72</v>
      </c>
      <c r="L56" s="340">
        <v>1</v>
      </c>
      <c r="M56" s="340">
        <v>1</v>
      </c>
      <c r="N56" s="160"/>
      <c r="O56" s="47"/>
      <c r="P56" s="721" t="s">
        <v>198</v>
      </c>
      <c r="Q56" s="721" t="s">
        <v>142</v>
      </c>
      <c r="R56" s="721">
        <v>1</v>
      </c>
      <c r="S56" s="357">
        <v>0</v>
      </c>
      <c r="T56" s="357">
        <v>0</v>
      </c>
      <c r="U56" s="357">
        <v>0</v>
      </c>
      <c r="V56" s="357">
        <v>1</v>
      </c>
      <c r="W56" s="1267" t="s">
        <v>199</v>
      </c>
      <c r="X56" s="769" t="s">
        <v>76</v>
      </c>
      <c r="Y56" s="800">
        <v>72992873425.612</v>
      </c>
      <c r="Z56" s="784">
        <f>+Y56</f>
        <v>72992873425.612</v>
      </c>
      <c r="AA56" s="539">
        <v>0</v>
      </c>
      <c r="AB56" s="587"/>
      <c r="AC56" s="587"/>
      <c r="AD56" s="587"/>
      <c r="AE56" s="589"/>
      <c r="AF56" s="588"/>
      <c r="AG56" s="588"/>
      <c r="AH56" s="588"/>
      <c r="AI56" s="588"/>
      <c r="AJ56" s="588"/>
      <c r="AK56" s="588"/>
      <c r="AL56" s="588"/>
      <c r="AM56" s="588"/>
      <c r="AN56" s="588"/>
      <c r="AO56" s="588"/>
      <c r="AP56" s="588"/>
      <c r="AQ56" s="588"/>
      <c r="AR56" s="588"/>
      <c r="AS56" s="588"/>
      <c r="AT56" s="357"/>
      <c r="AU56" s="357"/>
      <c r="AV56" s="136"/>
    </row>
    <row r="57" spans="1:50" s="1" customFormat="1" ht="108" customHeight="1" thickBot="1">
      <c r="A57" s="842"/>
      <c r="B57" s="773"/>
      <c r="C57" s="886"/>
      <c r="D57" s="764"/>
      <c r="E57" s="764"/>
      <c r="F57" s="764"/>
      <c r="G57" s="764"/>
      <c r="H57" s="764"/>
      <c r="I57" s="764"/>
      <c r="J57" s="767" t="s">
        <v>200</v>
      </c>
      <c r="K57" s="767" t="s">
        <v>93</v>
      </c>
      <c r="L57" s="747" t="s">
        <v>69</v>
      </c>
      <c r="M57" s="747">
        <v>100</v>
      </c>
      <c r="N57" s="41"/>
      <c r="O57" s="154"/>
      <c r="P57" s="721" t="s">
        <v>201</v>
      </c>
      <c r="Q57" s="721" t="s">
        <v>72</v>
      </c>
      <c r="R57" s="721">
        <v>12</v>
      </c>
      <c r="S57" s="721">
        <v>3</v>
      </c>
      <c r="T57" s="721">
        <v>3</v>
      </c>
      <c r="U57" s="721">
        <v>3</v>
      </c>
      <c r="V57" s="357">
        <v>3</v>
      </c>
      <c r="W57" s="778"/>
      <c r="X57" s="770"/>
      <c r="Y57" s="785"/>
      <c r="Z57" s="785"/>
      <c r="AA57" s="539">
        <v>3</v>
      </c>
      <c r="AB57" s="587"/>
      <c r="AC57" s="587"/>
      <c r="AD57" s="587"/>
      <c r="AE57" s="589"/>
      <c r="AF57" s="588"/>
      <c r="AG57" s="588"/>
      <c r="AH57" s="588"/>
      <c r="AI57" s="588"/>
      <c r="AJ57" s="588"/>
      <c r="AK57" s="588"/>
      <c r="AL57" s="588"/>
      <c r="AM57" s="588"/>
      <c r="AN57" s="588"/>
      <c r="AO57" s="588"/>
      <c r="AP57" s="588"/>
      <c r="AQ57" s="588"/>
      <c r="AR57" s="588"/>
      <c r="AS57" s="588"/>
      <c r="AT57" s="357"/>
      <c r="AU57" s="357"/>
      <c r="AV57" s="789"/>
    </row>
    <row r="58" spans="1:50" s="1" customFormat="1" ht="108" customHeight="1">
      <c r="A58" s="842"/>
      <c r="B58" s="773"/>
      <c r="C58" s="886"/>
      <c r="D58" s="764"/>
      <c r="E58" s="764"/>
      <c r="F58" s="764"/>
      <c r="G58" s="764"/>
      <c r="H58" s="764"/>
      <c r="I58" s="764"/>
      <c r="J58" s="764"/>
      <c r="K58" s="764"/>
      <c r="L58" s="768"/>
      <c r="M58" s="768"/>
      <c r="N58" s="41"/>
      <c r="O58" s="763" t="s">
        <v>202</v>
      </c>
      <c r="P58" s="721" t="s">
        <v>203</v>
      </c>
      <c r="Q58" s="721" t="s">
        <v>72</v>
      </c>
      <c r="R58" s="721">
        <v>12</v>
      </c>
      <c r="S58" s="721">
        <v>3</v>
      </c>
      <c r="T58" s="721">
        <v>3</v>
      </c>
      <c r="U58" s="721">
        <v>3</v>
      </c>
      <c r="V58" s="357">
        <v>3</v>
      </c>
      <c r="W58" s="778"/>
      <c r="X58" s="770"/>
      <c r="Y58" s="785"/>
      <c r="Z58" s="785"/>
      <c r="AA58" s="539">
        <v>3</v>
      </c>
      <c r="AB58" s="587"/>
      <c r="AC58" s="587"/>
      <c r="AD58" s="587"/>
      <c r="AE58" s="589"/>
      <c r="AF58" s="588"/>
      <c r="AG58" s="588"/>
      <c r="AH58" s="588"/>
      <c r="AI58" s="588"/>
      <c r="AJ58" s="588"/>
      <c r="AK58" s="588"/>
      <c r="AL58" s="588"/>
      <c r="AM58" s="588"/>
      <c r="AN58" s="588"/>
      <c r="AO58" s="588"/>
      <c r="AP58" s="588"/>
      <c r="AQ58" s="588"/>
      <c r="AR58" s="588"/>
      <c r="AS58" s="588"/>
      <c r="AT58" s="357" t="s">
        <v>204</v>
      </c>
      <c r="AU58" s="357" t="s">
        <v>204</v>
      </c>
      <c r="AV58" s="789"/>
    </row>
    <row r="59" spans="1:50" s="1" customFormat="1" ht="108" customHeight="1">
      <c r="A59" s="842"/>
      <c r="B59" s="773"/>
      <c r="C59" s="886"/>
      <c r="D59" s="764"/>
      <c r="E59" s="764"/>
      <c r="F59" s="764"/>
      <c r="G59" s="764"/>
      <c r="H59" s="764"/>
      <c r="I59" s="764"/>
      <c r="J59" s="764"/>
      <c r="K59" s="764"/>
      <c r="L59" s="768"/>
      <c r="M59" s="768"/>
      <c r="N59" s="41"/>
      <c r="O59" s="764"/>
      <c r="P59" s="721" t="s">
        <v>205</v>
      </c>
      <c r="Q59" s="721" t="s">
        <v>86</v>
      </c>
      <c r="R59" s="721">
        <v>8</v>
      </c>
      <c r="S59" s="721">
        <v>2</v>
      </c>
      <c r="T59" s="721">
        <v>2</v>
      </c>
      <c r="U59" s="721">
        <v>2</v>
      </c>
      <c r="V59" s="357">
        <v>2</v>
      </c>
      <c r="W59" s="778"/>
      <c r="X59" s="770"/>
      <c r="Y59" s="785"/>
      <c r="Z59" s="785"/>
      <c r="AA59" s="539">
        <v>2</v>
      </c>
      <c r="AB59" s="587"/>
      <c r="AC59" s="587"/>
      <c r="AD59" s="587"/>
      <c r="AE59" s="589"/>
      <c r="AF59" s="588"/>
      <c r="AG59" s="588"/>
      <c r="AH59" s="588"/>
      <c r="AI59" s="588"/>
      <c r="AJ59" s="588"/>
      <c r="AK59" s="588"/>
      <c r="AL59" s="588"/>
      <c r="AM59" s="588"/>
      <c r="AN59" s="588"/>
      <c r="AO59" s="588"/>
      <c r="AP59" s="588"/>
      <c r="AQ59" s="588"/>
      <c r="AR59" s="588"/>
      <c r="AS59" s="588"/>
      <c r="AT59" s="357"/>
      <c r="AU59" s="357"/>
      <c r="AV59" s="789"/>
    </row>
    <row r="60" spans="1:50" s="1" customFormat="1" ht="108" customHeight="1">
      <c r="A60" s="842"/>
      <c r="B60" s="773"/>
      <c r="C60" s="886"/>
      <c r="D60" s="764"/>
      <c r="E60" s="764"/>
      <c r="F60" s="764"/>
      <c r="G60" s="764"/>
      <c r="H60" s="764"/>
      <c r="I60" s="764"/>
      <c r="J60" s="764"/>
      <c r="K60" s="764"/>
      <c r="L60" s="768"/>
      <c r="M60" s="768"/>
      <c r="N60" s="41"/>
      <c r="O60" s="764"/>
      <c r="P60" s="721" t="s">
        <v>206</v>
      </c>
      <c r="Q60" s="721" t="s">
        <v>72</v>
      </c>
      <c r="R60" s="721">
        <v>12</v>
      </c>
      <c r="S60" s="721">
        <v>3</v>
      </c>
      <c r="T60" s="721">
        <v>3</v>
      </c>
      <c r="U60" s="721">
        <v>3</v>
      </c>
      <c r="V60" s="357">
        <v>3</v>
      </c>
      <c r="W60" s="778"/>
      <c r="X60" s="770"/>
      <c r="Y60" s="785"/>
      <c r="Z60" s="785"/>
      <c r="AA60" s="539">
        <v>3</v>
      </c>
      <c r="AB60" s="587"/>
      <c r="AC60" s="587"/>
      <c r="AD60" s="587"/>
      <c r="AE60" s="589"/>
      <c r="AF60" s="588"/>
      <c r="AG60" s="588"/>
      <c r="AH60" s="588"/>
      <c r="AI60" s="588"/>
      <c r="AJ60" s="588"/>
      <c r="AK60" s="588"/>
      <c r="AL60" s="588"/>
      <c r="AM60" s="588"/>
      <c r="AN60" s="588"/>
      <c r="AO60" s="588"/>
      <c r="AP60" s="588"/>
      <c r="AQ60" s="588"/>
      <c r="AR60" s="588"/>
      <c r="AS60" s="588"/>
      <c r="AT60" s="357" t="s">
        <v>204</v>
      </c>
      <c r="AU60" s="357" t="s">
        <v>204</v>
      </c>
      <c r="AV60" s="789"/>
      <c r="AW60" s="146"/>
    </row>
    <row r="61" spans="1:50" s="1" customFormat="1" ht="108" customHeight="1">
      <c r="A61" s="842"/>
      <c r="B61" s="773"/>
      <c r="C61" s="886"/>
      <c r="D61" s="764"/>
      <c r="E61" s="764"/>
      <c r="F61" s="764"/>
      <c r="G61" s="764"/>
      <c r="H61" s="764"/>
      <c r="I61" s="764"/>
      <c r="J61" s="40" t="s">
        <v>207</v>
      </c>
      <c r="K61" s="40" t="s">
        <v>93</v>
      </c>
      <c r="L61" s="43" t="s">
        <v>69</v>
      </c>
      <c r="M61" s="43">
        <v>100</v>
      </c>
      <c r="N61" s="41"/>
      <c r="O61" s="764"/>
      <c r="P61" s="721" t="s">
        <v>208</v>
      </c>
      <c r="Q61" s="721" t="s">
        <v>72</v>
      </c>
      <c r="R61" s="721">
        <v>2</v>
      </c>
      <c r="S61" s="721">
        <v>0</v>
      </c>
      <c r="T61" s="721">
        <v>1</v>
      </c>
      <c r="U61" s="721">
        <v>0</v>
      </c>
      <c r="V61" s="357">
        <v>1</v>
      </c>
      <c r="W61" s="778"/>
      <c r="X61" s="770"/>
      <c r="Y61" s="785"/>
      <c r="Z61" s="785"/>
      <c r="AA61" s="539">
        <v>0</v>
      </c>
      <c r="AB61" s="587"/>
      <c r="AC61" s="587"/>
      <c r="AD61" s="587"/>
      <c r="AE61" s="589"/>
      <c r="AF61" s="588"/>
      <c r="AG61" s="588"/>
      <c r="AH61" s="588"/>
      <c r="AI61" s="588"/>
      <c r="AJ61" s="588"/>
      <c r="AK61" s="588"/>
      <c r="AL61" s="588"/>
      <c r="AM61" s="588"/>
      <c r="AN61" s="588"/>
      <c r="AO61" s="588"/>
      <c r="AP61" s="588"/>
      <c r="AQ61" s="588"/>
      <c r="AR61" s="588"/>
      <c r="AS61" s="588"/>
      <c r="AT61" s="357" t="s">
        <v>204</v>
      </c>
      <c r="AU61" s="357" t="s">
        <v>204</v>
      </c>
      <c r="AV61" s="789"/>
      <c r="AW61" s="146"/>
    </row>
    <row r="62" spans="1:50" s="1" customFormat="1" ht="108" customHeight="1">
      <c r="A62" s="842"/>
      <c r="B62" s="773"/>
      <c r="C62" s="886"/>
      <c r="D62" s="764"/>
      <c r="E62" s="764"/>
      <c r="F62" s="764"/>
      <c r="G62" s="764"/>
      <c r="H62" s="764"/>
      <c r="I62" s="764"/>
      <c r="J62" s="767" t="s">
        <v>209</v>
      </c>
      <c r="K62" s="767" t="s">
        <v>72</v>
      </c>
      <c r="L62" s="747">
        <v>1</v>
      </c>
      <c r="M62" s="747">
        <v>1</v>
      </c>
      <c r="N62" s="41"/>
      <c r="O62" s="764"/>
      <c r="P62" s="721" t="s">
        <v>210</v>
      </c>
      <c r="Q62" s="721" t="s">
        <v>86</v>
      </c>
      <c r="R62" s="721">
        <v>1</v>
      </c>
      <c r="S62" s="721">
        <v>1</v>
      </c>
      <c r="T62" s="721">
        <v>0</v>
      </c>
      <c r="U62" s="721">
        <v>0</v>
      </c>
      <c r="V62" s="357">
        <v>0</v>
      </c>
      <c r="W62" s="778"/>
      <c r="X62" s="770"/>
      <c r="Y62" s="785"/>
      <c r="Z62" s="785"/>
      <c r="AA62" s="539">
        <v>1</v>
      </c>
      <c r="AB62" s="587"/>
      <c r="AC62" s="587"/>
      <c r="AD62" s="587"/>
      <c r="AE62" s="589"/>
      <c r="AF62" s="588"/>
      <c r="AG62" s="588"/>
      <c r="AH62" s="588"/>
      <c r="AI62" s="588"/>
      <c r="AJ62" s="588"/>
      <c r="AK62" s="588"/>
      <c r="AL62" s="588"/>
      <c r="AM62" s="588"/>
      <c r="AN62" s="588"/>
      <c r="AO62" s="588"/>
      <c r="AP62" s="588"/>
      <c r="AQ62" s="588"/>
      <c r="AR62" s="588"/>
      <c r="AS62" s="588"/>
      <c r="AT62" s="357"/>
      <c r="AU62" s="357"/>
      <c r="AV62" s="789"/>
      <c r="AW62" s="146"/>
    </row>
    <row r="63" spans="1:50" s="1" customFormat="1" ht="99" customHeight="1">
      <c r="A63" s="842"/>
      <c r="B63" s="773"/>
      <c r="C63" s="886"/>
      <c r="D63" s="764"/>
      <c r="E63" s="765"/>
      <c r="F63" s="765"/>
      <c r="G63" s="765"/>
      <c r="H63" s="765"/>
      <c r="I63" s="765"/>
      <c r="J63" s="765"/>
      <c r="K63" s="765"/>
      <c r="L63" s="748"/>
      <c r="M63" s="748"/>
      <c r="N63" s="41"/>
      <c r="O63" s="765"/>
      <c r="P63" s="721" t="s">
        <v>211</v>
      </c>
      <c r="Q63" s="721" t="s">
        <v>86</v>
      </c>
      <c r="R63" s="721">
        <v>12</v>
      </c>
      <c r="S63" s="721">
        <v>3</v>
      </c>
      <c r="T63" s="721">
        <v>3</v>
      </c>
      <c r="U63" s="721">
        <v>3</v>
      </c>
      <c r="V63" s="357">
        <v>3</v>
      </c>
      <c r="W63" s="778"/>
      <c r="X63" s="770"/>
      <c r="Y63" s="785"/>
      <c r="Z63" s="785"/>
      <c r="AA63" s="539">
        <v>1</v>
      </c>
      <c r="AB63" s="587"/>
      <c r="AC63" s="587"/>
      <c r="AD63" s="587"/>
      <c r="AE63" s="589"/>
      <c r="AF63" s="588"/>
      <c r="AG63" s="588"/>
      <c r="AH63" s="588"/>
      <c r="AI63" s="588"/>
      <c r="AJ63" s="588"/>
      <c r="AK63" s="588"/>
      <c r="AL63" s="588"/>
      <c r="AM63" s="588"/>
      <c r="AN63" s="588"/>
      <c r="AO63" s="588"/>
      <c r="AP63" s="588"/>
      <c r="AQ63" s="588"/>
      <c r="AR63" s="588"/>
      <c r="AS63" s="588"/>
      <c r="AT63" s="357" t="s">
        <v>204</v>
      </c>
      <c r="AU63" s="357" t="s">
        <v>204</v>
      </c>
      <c r="AV63" s="789"/>
    </row>
    <row r="64" spans="1:50" s="1" customFormat="1" ht="99" customHeight="1">
      <c r="A64" s="842"/>
      <c r="B64" s="773"/>
      <c r="C64" s="886"/>
      <c r="D64" s="764"/>
      <c r="E64" s="767" t="s">
        <v>212</v>
      </c>
      <c r="F64" s="767" t="s">
        <v>68</v>
      </c>
      <c r="G64" s="767">
        <v>84</v>
      </c>
      <c r="H64" s="767">
        <v>84</v>
      </c>
      <c r="I64" s="767" t="s">
        <v>213</v>
      </c>
      <c r="J64" s="767" t="s">
        <v>214</v>
      </c>
      <c r="K64" s="767" t="s">
        <v>93</v>
      </c>
      <c r="L64" s="747">
        <v>84</v>
      </c>
      <c r="M64" s="747">
        <v>84</v>
      </c>
      <c r="N64" s="747"/>
      <c r="O64" s="772" t="s">
        <v>215</v>
      </c>
      <c r="P64" s="721" t="s">
        <v>216</v>
      </c>
      <c r="Q64" s="721" t="s">
        <v>142</v>
      </c>
      <c r="R64" s="721">
        <v>2</v>
      </c>
      <c r="S64" s="721">
        <v>1</v>
      </c>
      <c r="T64" s="721">
        <v>0</v>
      </c>
      <c r="U64" s="721">
        <v>0</v>
      </c>
      <c r="V64" s="357">
        <v>1</v>
      </c>
      <c r="W64" s="778"/>
      <c r="X64" s="770"/>
      <c r="Y64" s="785"/>
      <c r="Z64" s="785"/>
      <c r="AA64" s="539">
        <v>1</v>
      </c>
      <c r="AB64" s="587"/>
      <c r="AC64" s="587"/>
      <c r="AD64" s="587"/>
      <c r="AE64" s="589"/>
      <c r="AF64" s="588"/>
      <c r="AG64" s="588"/>
      <c r="AH64" s="588"/>
      <c r="AI64" s="588"/>
      <c r="AJ64" s="588"/>
      <c r="AK64" s="588"/>
      <c r="AL64" s="588"/>
      <c r="AM64" s="588"/>
      <c r="AN64" s="588"/>
      <c r="AO64" s="588"/>
      <c r="AP64" s="588"/>
      <c r="AQ64" s="588"/>
      <c r="AR64" s="588"/>
      <c r="AS64" s="588"/>
      <c r="AT64" s="357"/>
      <c r="AU64" s="357"/>
      <c r="AV64" s="789"/>
    </row>
    <row r="65" spans="1:49" s="1" customFormat="1" ht="99" customHeight="1">
      <c r="A65" s="842"/>
      <c r="B65" s="773"/>
      <c r="C65" s="886"/>
      <c r="D65" s="764"/>
      <c r="E65" s="764"/>
      <c r="F65" s="764"/>
      <c r="G65" s="764"/>
      <c r="H65" s="764"/>
      <c r="I65" s="764"/>
      <c r="J65" s="764"/>
      <c r="K65" s="764"/>
      <c r="L65" s="768"/>
      <c r="M65" s="768"/>
      <c r="N65" s="768"/>
      <c r="O65" s="773"/>
      <c r="P65" s="721" t="s">
        <v>217</v>
      </c>
      <c r="Q65" s="721" t="s">
        <v>142</v>
      </c>
      <c r="R65" s="721">
        <v>12</v>
      </c>
      <c r="S65" s="721">
        <v>3</v>
      </c>
      <c r="T65" s="721">
        <v>3</v>
      </c>
      <c r="U65" s="721">
        <v>3</v>
      </c>
      <c r="V65" s="357">
        <v>3</v>
      </c>
      <c r="W65" s="778"/>
      <c r="X65" s="770"/>
      <c r="Y65" s="785"/>
      <c r="Z65" s="785"/>
      <c r="AA65" s="539">
        <v>3</v>
      </c>
      <c r="AB65" s="587"/>
      <c r="AC65" s="587"/>
      <c r="AD65" s="587"/>
      <c r="AE65" s="712"/>
      <c r="AF65" s="588"/>
      <c r="AG65" s="588"/>
      <c r="AH65" s="588"/>
      <c r="AI65" s="588"/>
      <c r="AJ65" s="588"/>
      <c r="AK65" s="588" t="s">
        <v>218</v>
      </c>
      <c r="AL65" s="588" t="s">
        <v>218</v>
      </c>
      <c r="AM65" s="588"/>
      <c r="AN65" s="588" t="s">
        <v>218</v>
      </c>
      <c r="AO65" s="588"/>
      <c r="AP65" s="588"/>
      <c r="AQ65" s="588"/>
      <c r="AR65" s="588"/>
      <c r="AS65" s="714" t="s">
        <v>219</v>
      </c>
      <c r="AT65" s="357"/>
      <c r="AU65" s="357"/>
      <c r="AV65" s="789"/>
    </row>
    <row r="66" spans="1:49" s="1" customFormat="1" ht="99" customHeight="1">
      <c r="A66" s="842"/>
      <c r="B66" s="773"/>
      <c r="C66" s="886"/>
      <c r="D66" s="764"/>
      <c r="E66" s="764"/>
      <c r="F66" s="764"/>
      <c r="G66" s="764"/>
      <c r="H66" s="764"/>
      <c r="I66" s="764"/>
      <c r="J66" s="764"/>
      <c r="K66" s="764"/>
      <c r="L66" s="768"/>
      <c r="M66" s="768"/>
      <c r="N66" s="768"/>
      <c r="O66" s="773"/>
      <c r="P66" s="721" t="s">
        <v>220</v>
      </c>
      <c r="Q66" s="721" t="s">
        <v>142</v>
      </c>
      <c r="R66" s="721">
        <v>12</v>
      </c>
      <c r="S66" s="721">
        <v>3</v>
      </c>
      <c r="T66" s="721">
        <v>3</v>
      </c>
      <c r="U66" s="721">
        <v>3</v>
      </c>
      <c r="V66" s="357">
        <v>3</v>
      </c>
      <c r="W66" s="778"/>
      <c r="X66" s="770"/>
      <c r="Y66" s="785"/>
      <c r="Z66" s="785"/>
      <c r="AA66" s="539">
        <v>3</v>
      </c>
      <c r="AB66" s="587"/>
      <c r="AC66" s="587"/>
      <c r="AD66" s="587"/>
      <c r="AE66" s="712"/>
      <c r="AF66" s="588"/>
      <c r="AG66" s="588"/>
      <c r="AH66" s="588"/>
      <c r="AI66" s="588"/>
      <c r="AJ66" s="588"/>
      <c r="AK66" s="588" t="s">
        <v>221</v>
      </c>
      <c r="AL66" s="588" t="s">
        <v>221</v>
      </c>
      <c r="AM66" s="588"/>
      <c r="AN66" s="588" t="s">
        <v>221</v>
      </c>
      <c r="AO66" s="588"/>
      <c r="AP66" s="588"/>
      <c r="AQ66" s="588"/>
      <c r="AR66" s="588"/>
      <c r="AS66" s="714" t="s">
        <v>222</v>
      </c>
      <c r="AT66" s="357"/>
      <c r="AU66" s="357"/>
      <c r="AV66" s="789"/>
    </row>
    <row r="67" spans="1:49" s="1" customFormat="1" ht="99" customHeight="1">
      <c r="A67" s="842"/>
      <c r="B67" s="773"/>
      <c r="C67" s="886"/>
      <c r="D67" s="764"/>
      <c r="E67" s="764"/>
      <c r="F67" s="764"/>
      <c r="G67" s="764"/>
      <c r="H67" s="764"/>
      <c r="I67" s="764"/>
      <c r="J67" s="764"/>
      <c r="K67" s="764"/>
      <c r="L67" s="768"/>
      <c r="M67" s="768"/>
      <c r="N67" s="768"/>
      <c r="O67" s="773"/>
      <c r="P67" s="721" t="s">
        <v>223</v>
      </c>
      <c r="Q67" s="721" t="s">
        <v>142</v>
      </c>
      <c r="R67" s="721">
        <v>1</v>
      </c>
      <c r="S67" s="721">
        <v>0</v>
      </c>
      <c r="T67" s="721">
        <v>0</v>
      </c>
      <c r="U67" s="721">
        <v>1</v>
      </c>
      <c r="V67" s="357">
        <v>0</v>
      </c>
      <c r="W67" s="778"/>
      <c r="X67" s="770"/>
      <c r="Y67" s="785"/>
      <c r="Z67" s="785"/>
      <c r="AA67" s="539">
        <v>0</v>
      </c>
      <c r="AB67" s="587"/>
      <c r="AC67" s="587"/>
      <c r="AD67" s="587"/>
      <c r="AE67" s="712"/>
      <c r="AF67" s="588"/>
      <c r="AG67" s="588"/>
      <c r="AH67" s="588"/>
      <c r="AI67" s="588"/>
      <c r="AJ67" s="588"/>
      <c r="AK67" s="588"/>
      <c r="AL67" s="588"/>
      <c r="AM67" s="588"/>
      <c r="AN67" s="715" t="s">
        <v>224</v>
      </c>
      <c r="AO67" s="588"/>
      <c r="AP67" s="588"/>
      <c r="AQ67" s="588"/>
      <c r="AR67" s="588"/>
      <c r="AS67" s="714" t="s">
        <v>225</v>
      </c>
      <c r="AT67" s="357"/>
      <c r="AU67" s="357"/>
      <c r="AV67" s="789"/>
    </row>
    <row r="68" spans="1:49" s="1" customFormat="1" ht="126.75" customHeight="1">
      <c r="A68" s="842"/>
      <c r="B68" s="773"/>
      <c r="C68" s="886"/>
      <c r="D68" s="764"/>
      <c r="E68" s="765"/>
      <c r="F68" s="765"/>
      <c r="G68" s="765"/>
      <c r="H68" s="765"/>
      <c r="I68" s="765"/>
      <c r="J68" s="765"/>
      <c r="K68" s="765"/>
      <c r="L68" s="748"/>
      <c r="M68" s="748"/>
      <c r="N68" s="748"/>
      <c r="O68" s="774"/>
      <c r="P68" s="721" t="s">
        <v>226</v>
      </c>
      <c r="Q68" s="721" t="s">
        <v>142</v>
      </c>
      <c r="R68" s="721">
        <v>12</v>
      </c>
      <c r="S68" s="721">
        <v>3</v>
      </c>
      <c r="T68" s="721">
        <v>3</v>
      </c>
      <c r="U68" s="721">
        <v>3</v>
      </c>
      <c r="V68" s="357">
        <v>3</v>
      </c>
      <c r="W68" s="778"/>
      <c r="X68" s="770"/>
      <c r="Y68" s="785"/>
      <c r="Z68" s="785"/>
      <c r="AA68" s="539">
        <v>3</v>
      </c>
      <c r="AB68" s="587"/>
      <c r="AC68" s="587"/>
      <c r="AD68" s="587"/>
      <c r="AE68" s="589"/>
      <c r="AF68" s="588"/>
      <c r="AG68" s="588"/>
      <c r="AH68" s="588"/>
      <c r="AI68" s="588"/>
      <c r="AJ68" s="588"/>
      <c r="AK68" s="588"/>
      <c r="AL68" s="588"/>
      <c r="AM68" s="588"/>
      <c r="AN68" s="588"/>
      <c r="AO68" s="588"/>
      <c r="AP68" s="588"/>
      <c r="AQ68" s="588"/>
      <c r="AR68" s="588"/>
      <c r="AS68" s="588"/>
      <c r="AT68" s="357" t="s">
        <v>204</v>
      </c>
      <c r="AU68" s="357" t="s">
        <v>204</v>
      </c>
      <c r="AV68" s="789"/>
      <c r="AW68" s="1" t="s">
        <v>227</v>
      </c>
    </row>
    <row r="69" spans="1:49" s="1" customFormat="1" ht="84" customHeight="1">
      <c r="A69" s="842"/>
      <c r="B69" s="773"/>
      <c r="C69" s="886"/>
      <c r="D69" s="764"/>
      <c r="E69" s="767" t="s">
        <v>228</v>
      </c>
      <c r="F69" s="767" t="s">
        <v>68</v>
      </c>
      <c r="G69" s="767" t="s">
        <v>69</v>
      </c>
      <c r="H69" s="767">
        <v>80</v>
      </c>
      <c r="I69" s="767" t="s">
        <v>229</v>
      </c>
      <c r="J69" s="40" t="s">
        <v>230</v>
      </c>
      <c r="K69" s="40" t="s">
        <v>93</v>
      </c>
      <c r="L69" s="43">
        <v>0</v>
      </c>
      <c r="M69" s="43">
        <v>100</v>
      </c>
      <c r="N69" s="41"/>
      <c r="O69" s="767" t="s">
        <v>231</v>
      </c>
      <c r="P69" s="721" t="s">
        <v>232</v>
      </c>
      <c r="Q69" s="721" t="s">
        <v>72</v>
      </c>
      <c r="R69" s="721">
        <v>5</v>
      </c>
      <c r="S69" s="721">
        <v>1</v>
      </c>
      <c r="T69" s="721">
        <v>1</v>
      </c>
      <c r="U69" s="721">
        <v>1</v>
      </c>
      <c r="V69" s="357">
        <v>2</v>
      </c>
      <c r="W69" s="778"/>
      <c r="X69" s="770"/>
      <c r="Y69" s="785"/>
      <c r="Z69" s="785"/>
      <c r="AA69" s="547">
        <v>1</v>
      </c>
      <c r="AB69" s="587"/>
      <c r="AC69" s="587"/>
      <c r="AD69" s="587"/>
      <c r="AE69" s="589"/>
      <c r="AF69" s="588"/>
      <c r="AG69" s="588"/>
      <c r="AH69" s="588"/>
      <c r="AI69" s="588"/>
      <c r="AJ69" s="588"/>
      <c r="AK69" s="588"/>
      <c r="AL69" s="588"/>
      <c r="AM69" s="588"/>
      <c r="AN69" s="588"/>
      <c r="AO69" s="588"/>
      <c r="AP69" s="588"/>
      <c r="AQ69" s="588"/>
      <c r="AR69" s="588"/>
      <c r="AS69" s="588"/>
      <c r="AT69" s="357" t="s">
        <v>204</v>
      </c>
      <c r="AU69" s="357" t="s">
        <v>204</v>
      </c>
      <c r="AV69" s="789"/>
    </row>
    <row r="70" spans="1:49" s="1" customFormat="1" ht="89.25" customHeight="1">
      <c r="A70" s="842"/>
      <c r="B70" s="773"/>
      <c r="C70" s="886"/>
      <c r="D70" s="764"/>
      <c r="E70" s="764"/>
      <c r="F70" s="764"/>
      <c r="G70" s="764"/>
      <c r="H70" s="764"/>
      <c r="I70" s="765"/>
      <c r="J70" s="40" t="s">
        <v>233</v>
      </c>
      <c r="K70" s="40" t="s">
        <v>93</v>
      </c>
      <c r="L70" s="43">
        <v>100</v>
      </c>
      <c r="M70" s="43">
        <v>100</v>
      </c>
      <c r="N70" s="41"/>
      <c r="O70" s="765"/>
      <c r="P70" s="721" t="s">
        <v>234</v>
      </c>
      <c r="Q70" s="721" t="s">
        <v>86</v>
      </c>
      <c r="R70" s="721">
        <v>5</v>
      </c>
      <c r="S70" s="721">
        <v>1</v>
      </c>
      <c r="T70" s="721">
        <v>1</v>
      </c>
      <c r="U70" s="721">
        <v>1</v>
      </c>
      <c r="V70" s="357">
        <v>2</v>
      </c>
      <c r="W70" s="778"/>
      <c r="X70" s="770"/>
      <c r="Y70" s="785"/>
      <c r="Z70" s="785"/>
      <c r="AA70" s="547">
        <v>1</v>
      </c>
      <c r="AB70" s="587"/>
      <c r="AC70" s="587"/>
      <c r="AD70" s="587"/>
      <c r="AE70" s="589"/>
      <c r="AF70" s="588"/>
      <c r="AG70" s="588"/>
      <c r="AH70" s="588"/>
      <c r="AI70" s="588"/>
      <c r="AJ70" s="588"/>
      <c r="AK70" s="588"/>
      <c r="AL70" s="588"/>
      <c r="AM70" s="588"/>
      <c r="AN70" s="588"/>
      <c r="AO70" s="588"/>
      <c r="AP70" s="588"/>
      <c r="AQ70" s="588"/>
      <c r="AR70" s="588"/>
      <c r="AS70" s="588"/>
      <c r="AT70" s="357" t="s">
        <v>204</v>
      </c>
      <c r="AU70" s="357" t="s">
        <v>204</v>
      </c>
      <c r="AV70" s="789"/>
    </row>
    <row r="71" spans="1:49" s="1" customFormat="1" ht="95.25" customHeight="1" thickBot="1">
      <c r="A71" s="843"/>
      <c r="B71" s="848"/>
      <c r="C71" s="887"/>
      <c r="D71" s="817"/>
      <c r="E71" s="817"/>
      <c r="F71" s="817"/>
      <c r="G71" s="817"/>
      <c r="H71" s="817"/>
      <c r="I71" s="50" t="s">
        <v>235</v>
      </c>
      <c r="J71" s="50" t="s">
        <v>236</v>
      </c>
      <c r="K71" s="50" t="s">
        <v>93</v>
      </c>
      <c r="L71" s="48" t="s">
        <v>69</v>
      </c>
      <c r="M71" s="48">
        <v>100</v>
      </c>
      <c r="N71" s="46"/>
      <c r="O71" s="48" t="s">
        <v>237</v>
      </c>
      <c r="P71" s="721" t="s">
        <v>238</v>
      </c>
      <c r="Q71" s="721" t="s">
        <v>72</v>
      </c>
      <c r="R71" s="721">
        <v>1</v>
      </c>
      <c r="S71" s="721">
        <v>0</v>
      </c>
      <c r="T71" s="721">
        <v>0</v>
      </c>
      <c r="U71" s="721">
        <v>0</v>
      </c>
      <c r="V71" s="357">
        <v>1</v>
      </c>
      <c r="W71" s="782"/>
      <c r="X71" s="771"/>
      <c r="Y71" s="786"/>
      <c r="Z71" s="786"/>
      <c r="AA71" s="547">
        <v>0</v>
      </c>
      <c r="AB71" s="587"/>
      <c r="AC71" s="587"/>
      <c r="AD71" s="587"/>
      <c r="AE71" s="589"/>
      <c r="AF71" s="588"/>
      <c r="AG71" s="588"/>
      <c r="AH71" s="588"/>
      <c r="AI71" s="588"/>
      <c r="AJ71" s="588"/>
      <c r="AK71" s="588"/>
      <c r="AL71" s="588"/>
      <c r="AM71" s="588"/>
      <c r="AN71" s="588"/>
      <c r="AO71" s="588"/>
      <c r="AP71" s="588"/>
      <c r="AQ71" s="588"/>
      <c r="AR71" s="588"/>
      <c r="AS71" s="588"/>
      <c r="AT71" s="357" t="s">
        <v>204</v>
      </c>
      <c r="AU71" s="357" t="s">
        <v>204</v>
      </c>
      <c r="AV71" s="790"/>
    </row>
    <row r="72" spans="1:49" s="1" customFormat="1" ht="73.5" customHeight="1" thickBot="1">
      <c r="A72" s="893"/>
      <c r="B72" s="758"/>
      <c r="C72" s="758" t="s">
        <v>239</v>
      </c>
      <c r="D72" s="758" t="s">
        <v>240</v>
      </c>
      <c r="E72" s="758"/>
      <c r="F72" s="758"/>
      <c r="G72" s="758"/>
      <c r="H72" s="758"/>
      <c r="I72" s="758"/>
      <c r="J72" s="766" t="s">
        <v>241</v>
      </c>
      <c r="K72" s="766" t="s">
        <v>72</v>
      </c>
      <c r="L72" s="766" t="s">
        <v>69</v>
      </c>
      <c r="M72" s="766">
        <v>0</v>
      </c>
      <c r="N72" s="165"/>
      <c r="O72" s="750"/>
      <c r="P72" s="721" t="s">
        <v>242</v>
      </c>
      <c r="Q72" s="721" t="s">
        <v>72</v>
      </c>
      <c r="R72" s="721">
        <v>1</v>
      </c>
      <c r="S72" s="721">
        <v>0</v>
      </c>
      <c r="T72" s="721">
        <v>0</v>
      </c>
      <c r="U72" s="721">
        <v>1</v>
      </c>
      <c r="V72" s="357">
        <v>0</v>
      </c>
      <c r="W72" s="777" t="s">
        <v>243</v>
      </c>
      <c r="X72" s="775" t="s">
        <v>76</v>
      </c>
      <c r="Y72" s="784">
        <v>66262878482.438004</v>
      </c>
      <c r="Z72" s="784">
        <f>+Y72</f>
        <v>66262878482.438004</v>
      </c>
      <c r="AA72" s="593">
        <v>0</v>
      </c>
      <c r="AB72" s="587"/>
      <c r="AC72" s="587"/>
      <c r="AD72" s="587"/>
      <c r="AE72" s="588"/>
      <c r="AF72" s="588"/>
      <c r="AG72" s="588"/>
      <c r="AH72" s="592"/>
      <c r="AI72" s="592"/>
      <c r="AJ72" s="592"/>
      <c r="AK72" s="592"/>
      <c r="AL72" s="592"/>
      <c r="AM72" s="592"/>
      <c r="AN72" s="592"/>
      <c r="AO72" s="592"/>
      <c r="AP72" s="592"/>
      <c r="AQ72" s="592"/>
      <c r="AR72" s="592"/>
      <c r="AS72" s="592"/>
      <c r="AT72" s="585" t="s">
        <v>244</v>
      </c>
      <c r="AU72" s="585" t="s">
        <v>244</v>
      </c>
      <c r="AV72" s="789"/>
    </row>
    <row r="73" spans="1:49" s="1" customFormat="1" ht="99.75" customHeight="1" thickBot="1">
      <c r="A73" s="893"/>
      <c r="B73" s="758"/>
      <c r="C73" s="758"/>
      <c r="D73" s="758"/>
      <c r="E73" s="758"/>
      <c r="F73" s="758"/>
      <c r="G73" s="758"/>
      <c r="H73" s="758"/>
      <c r="I73" s="758"/>
      <c r="J73" s="758"/>
      <c r="K73" s="758"/>
      <c r="L73" s="758"/>
      <c r="M73" s="758"/>
      <c r="N73" s="165"/>
      <c r="O73" s="750"/>
      <c r="P73" s="721" t="s">
        <v>245</v>
      </c>
      <c r="Q73" s="721" t="s">
        <v>72</v>
      </c>
      <c r="R73" s="721">
        <v>1</v>
      </c>
      <c r="S73" s="721">
        <v>0</v>
      </c>
      <c r="T73" s="721">
        <v>0</v>
      </c>
      <c r="U73" s="721">
        <v>1</v>
      </c>
      <c r="V73" s="357">
        <v>0</v>
      </c>
      <c r="W73" s="778"/>
      <c r="X73" s="770"/>
      <c r="Y73" s="785"/>
      <c r="Z73" s="785"/>
      <c r="AA73" s="593">
        <v>0</v>
      </c>
      <c r="AB73" s="587"/>
      <c r="AC73" s="587"/>
      <c r="AD73" s="587"/>
      <c r="AE73" s="588"/>
      <c r="AF73" s="588"/>
      <c r="AG73" s="588"/>
      <c r="AH73" s="592"/>
      <c r="AI73" s="592"/>
      <c r="AJ73" s="592"/>
      <c r="AK73" s="592"/>
      <c r="AL73" s="592"/>
      <c r="AM73" s="592"/>
      <c r="AN73" s="592"/>
      <c r="AO73" s="592"/>
      <c r="AP73" s="592"/>
      <c r="AQ73" s="592"/>
      <c r="AR73" s="592"/>
      <c r="AS73" s="592"/>
      <c r="AT73" s="585"/>
      <c r="AU73" s="585"/>
      <c r="AV73" s="789"/>
    </row>
    <row r="74" spans="1:49" s="1" customFormat="1" ht="114.75" customHeight="1" thickBot="1">
      <c r="A74" s="893"/>
      <c r="B74" s="758"/>
      <c r="C74" s="758"/>
      <c r="D74" s="758"/>
      <c r="E74" s="758"/>
      <c r="F74" s="758"/>
      <c r="G74" s="758"/>
      <c r="H74" s="758"/>
      <c r="I74" s="758"/>
      <c r="J74" s="760" t="s">
        <v>246</v>
      </c>
      <c r="K74" s="760" t="s">
        <v>72</v>
      </c>
      <c r="L74" s="760" t="s">
        <v>69</v>
      </c>
      <c r="M74" s="760">
        <v>0</v>
      </c>
      <c r="N74" s="165"/>
      <c r="O74" s="750"/>
      <c r="P74" s="721" t="s">
        <v>247</v>
      </c>
      <c r="Q74" s="721" t="s">
        <v>72</v>
      </c>
      <c r="R74" s="721">
        <v>1</v>
      </c>
      <c r="S74" s="721">
        <v>0</v>
      </c>
      <c r="T74" s="721">
        <v>0</v>
      </c>
      <c r="U74" s="721">
        <v>1</v>
      </c>
      <c r="V74" s="357">
        <v>0</v>
      </c>
      <c r="W74" s="778"/>
      <c r="X74" s="770"/>
      <c r="Y74" s="785"/>
      <c r="Z74" s="785"/>
      <c r="AA74" s="547">
        <v>0</v>
      </c>
      <c r="AB74" s="587"/>
      <c r="AC74" s="587"/>
      <c r="AD74" s="587"/>
      <c r="AE74" s="588"/>
      <c r="AF74" s="588"/>
      <c r="AG74" s="588"/>
      <c r="AH74" s="592"/>
      <c r="AI74" s="592"/>
      <c r="AJ74" s="592"/>
      <c r="AK74" s="592"/>
      <c r="AL74" s="592"/>
      <c r="AM74" s="592"/>
      <c r="AN74" s="592"/>
      <c r="AO74" s="592"/>
      <c r="AP74" s="592"/>
      <c r="AQ74" s="592"/>
      <c r="AR74" s="592"/>
      <c r="AS74" s="592"/>
      <c r="AT74" s="585" t="s">
        <v>244</v>
      </c>
      <c r="AU74" s="585" t="s">
        <v>244</v>
      </c>
      <c r="AV74" s="789"/>
    </row>
    <row r="75" spans="1:49" s="1" customFormat="1" ht="72.75" customHeight="1" thickBot="1">
      <c r="A75" s="893"/>
      <c r="B75" s="758"/>
      <c r="C75" s="758"/>
      <c r="D75" s="758"/>
      <c r="E75" s="758"/>
      <c r="F75" s="758"/>
      <c r="G75" s="758"/>
      <c r="H75" s="758"/>
      <c r="I75" s="758"/>
      <c r="J75" s="758"/>
      <c r="K75" s="758"/>
      <c r="L75" s="758"/>
      <c r="M75" s="758"/>
      <c r="N75" s="165"/>
      <c r="O75" s="750"/>
      <c r="P75" s="721" t="s">
        <v>248</v>
      </c>
      <c r="Q75" s="721" t="s">
        <v>72</v>
      </c>
      <c r="R75" s="721">
        <v>1</v>
      </c>
      <c r="S75" s="721">
        <v>0</v>
      </c>
      <c r="T75" s="721">
        <v>0</v>
      </c>
      <c r="U75" s="721">
        <v>1</v>
      </c>
      <c r="V75" s="357">
        <v>0</v>
      </c>
      <c r="W75" s="778"/>
      <c r="X75" s="770"/>
      <c r="Y75" s="785"/>
      <c r="Z75" s="785"/>
      <c r="AA75" s="547">
        <v>0</v>
      </c>
      <c r="AB75" s="587"/>
      <c r="AC75" s="587"/>
      <c r="AD75" s="587"/>
      <c r="AE75" s="588"/>
      <c r="AF75" s="588"/>
      <c r="AG75" s="588"/>
      <c r="AH75" s="592"/>
      <c r="AI75" s="592"/>
      <c r="AJ75" s="592"/>
      <c r="AK75" s="592"/>
      <c r="AL75" s="592"/>
      <c r="AM75" s="592"/>
      <c r="AN75" s="592"/>
      <c r="AO75" s="592"/>
      <c r="AP75" s="592"/>
      <c r="AQ75" s="592"/>
      <c r="AR75" s="592"/>
      <c r="AS75" s="592"/>
      <c r="AT75" s="585"/>
      <c r="AU75" s="585"/>
      <c r="AV75" s="789"/>
    </row>
    <row r="76" spans="1:49" s="1" customFormat="1" ht="69" customHeight="1" thickBot="1">
      <c r="A76" s="893"/>
      <c r="B76" s="758"/>
      <c r="C76" s="758"/>
      <c r="D76" s="758"/>
      <c r="E76" s="758"/>
      <c r="F76" s="758"/>
      <c r="G76" s="758"/>
      <c r="H76" s="758"/>
      <c r="I76" s="758"/>
      <c r="J76" s="758"/>
      <c r="K76" s="758"/>
      <c r="L76" s="758"/>
      <c r="M76" s="758"/>
      <c r="N76" s="165"/>
      <c r="O76" s="750"/>
      <c r="P76" s="721" t="s">
        <v>249</v>
      </c>
      <c r="Q76" s="721" t="s">
        <v>72</v>
      </c>
      <c r="R76" s="721">
        <v>1</v>
      </c>
      <c r="S76" s="721">
        <v>0</v>
      </c>
      <c r="T76" s="721">
        <v>0</v>
      </c>
      <c r="U76" s="721">
        <v>1</v>
      </c>
      <c r="V76" s="357">
        <v>0</v>
      </c>
      <c r="W76" s="778"/>
      <c r="X76" s="770"/>
      <c r="Y76" s="785"/>
      <c r="Z76" s="785"/>
      <c r="AA76" s="547">
        <v>0</v>
      </c>
      <c r="AB76" s="587"/>
      <c r="AC76" s="587"/>
      <c r="AD76" s="587"/>
      <c r="AE76" s="588"/>
      <c r="AF76" s="588"/>
      <c r="AG76" s="588"/>
      <c r="AH76" s="592"/>
      <c r="AI76" s="592"/>
      <c r="AJ76" s="592"/>
      <c r="AK76" s="592"/>
      <c r="AL76" s="592"/>
      <c r="AM76" s="592"/>
      <c r="AN76" s="592"/>
      <c r="AO76" s="592"/>
      <c r="AP76" s="592"/>
      <c r="AQ76" s="592"/>
      <c r="AR76" s="592"/>
      <c r="AS76" s="592"/>
      <c r="AT76" s="585"/>
      <c r="AU76" s="585"/>
      <c r="AV76" s="789"/>
    </row>
    <row r="77" spans="1:49" s="1" customFormat="1" ht="68.25" customHeight="1" thickBot="1">
      <c r="A77" s="893"/>
      <c r="B77" s="758"/>
      <c r="C77" s="758"/>
      <c r="D77" s="758"/>
      <c r="E77" s="758"/>
      <c r="F77" s="758"/>
      <c r="G77" s="758"/>
      <c r="H77" s="758"/>
      <c r="I77" s="758"/>
      <c r="J77" s="759"/>
      <c r="K77" s="759"/>
      <c r="L77" s="759"/>
      <c r="M77" s="759"/>
      <c r="N77" s="56"/>
      <c r="O77" s="750"/>
      <c r="P77" s="721" t="s">
        <v>250</v>
      </c>
      <c r="Q77" s="721" t="s">
        <v>72</v>
      </c>
      <c r="R77" s="721">
        <v>1</v>
      </c>
      <c r="S77" s="721">
        <v>0</v>
      </c>
      <c r="T77" s="721">
        <v>0</v>
      </c>
      <c r="U77" s="721">
        <v>1</v>
      </c>
      <c r="V77" s="357">
        <v>0</v>
      </c>
      <c r="W77" s="778"/>
      <c r="X77" s="770"/>
      <c r="Y77" s="785"/>
      <c r="Z77" s="785"/>
      <c r="AA77" s="547">
        <v>0</v>
      </c>
      <c r="AB77" s="587"/>
      <c r="AC77" s="587"/>
      <c r="AD77" s="587"/>
      <c r="AE77" s="588"/>
      <c r="AF77" s="588"/>
      <c r="AG77" s="588"/>
      <c r="AH77" s="592"/>
      <c r="AI77" s="592"/>
      <c r="AJ77" s="592"/>
      <c r="AK77" s="592"/>
      <c r="AL77" s="592"/>
      <c r="AM77" s="592"/>
      <c r="AN77" s="592"/>
      <c r="AO77" s="592"/>
      <c r="AP77" s="592"/>
      <c r="AQ77" s="592"/>
      <c r="AR77" s="592"/>
      <c r="AS77" s="592"/>
      <c r="AT77" s="585"/>
      <c r="AU77" s="585"/>
      <c r="AV77" s="789"/>
    </row>
    <row r="78" spans="1:49" s="1" customFormat="1" ht="156.75" customHeight="1" thickBot="1">
      <c r="A78" s="893"/>
      <c r="B78" s="758"/>
      <c r="C78" s="758"/>
      <c r="D78" s="758"/>
      <c r="E78" s="57" t="s">
        <v>251</v>
      </c>
      <c r="F78" s="58" t="s">
        <v>68</v>
      </c>
      <c r="G78" s="58">
        <v>20</v>
      </c>
      <c r="H78" s="58">
        <v>100</v>
      </c>
      <c r="I78" s="760" t="s">
        <v>252</v>
      </c>
      <c r="J78" s="157"/>
      <c r="K78" s="157"/>
      <c r="L78" s="157">
        <v>95</v>
      </c>
      <c r="M78" s="157">
        <v>95</v>
      </c>
      <c r="N78" s="750"/>
      <c r="O78" s="758" t="s">
        <v>253</v>
      </c>
      <c r="P78" s="721" t="s">
        <v>254</v>
      </c>
      <c r="Q78" s="721" t="s">
        <v>72</v>
      </c>
      <c r="R78" s="721">
        <v>1</v>
      </c>
      <c r="S78" s="721">
        <v>0</v>
      </c>
      <c r="T78" s="721">
        <v>0</v>
      </c>
      <c r="U78" s="721">
        <v>1</v>
      </c>
      <c r="V78" s="357">
        <v>0</v>
      </c>
      <c r="W78" s="778"/>
      <c r="X78" s="770"/>
      <c r="Y78" s="785"/>
      <c r="Z78" s="785"/>
      <c r="AA78" s="547">
        <v>0</v>
      </c>
      <c r="AB78" s="587"/>
      <c r="AC78" s="587"/>
      <c r="AD78" s="587"/>
      <c r="AE78" s="588"/>
      <c r="AF78" s="588"/>
      <c r="AG78" s="588"/>
      <c r="AH78" s="592"/>
      <c r="AI78" s="592"/>
      <c r="AJ78" s="592"/>
      <c r="AK78" s="592"/>
      <c r="AL78" s="592"/>
      <c r="AM78" s="592"/>
      <c r="AN78" s="592"/>
      <c r="AO78" s="592"/>
      <c r="AP78" s="592"/>
      <c r="AQ78" s="592"/>
      <c r="AR78" s="592"/>
      <c r="AS78" s="592"/>
      <c r="AT78" s="585" t="s">
        <v>244</v>
      </c>
      <c r="AU78" s="585" t="s">
        <v>244</v>
      </c>
      <c r="AV78" s="789"/>
    </row>
    <row r="79" spans="1:49" s="1" customFormat="1" ht="59.25" customHeight="1" thickBot="1">
      <c r="A79" s="893"/>
      <c r="B79" s="758"/>
      <c r="C79" s="758"/>
      <c r="D79" s="758"/>
      <c r="E79" s="758"/>
      <c r="F79" s="159"/>
      <c r="G79" s="159"/>
      <c r="H79" s="758"/>
      <c r="I79" s="758"/>
      <c r="J79" s="760" t="s">
        <v>255</v>
      </c>
      <c r="K79" s="760" t="s">
        <v>135</v>
      </c>
      <c r="L79" s="749">
        <v>9.57</v>
      </c>
      <c r="M79" s="749">
        <v>9.57</v>
      </c>
      <c r="N79" s="750"/>
      <c r="O79" s="758"/>
      <c r="P79" s="721" t="s">
        <v>256</v>
      </c>
      <c r="Q79" s="721" t="s">
        <v>72</v>
      </c>
      <c r="R79" s="721">
        <v>1</v>
      </c>
      <c r="S79" s="721">
        <v>0</v>
      </c>
      <c r="T79" s="721">
        <v>0</v>
      </c>
      <c r="U79" s="721">
        <v>1</v>
      </c>
      <c r="V79" s="357">
        <v>0</v>
      </c>
      <c r="W79" s="778"/>
      <c r="X79" s="770"/>
      <c r="Y79" s="785"/>
      <c r="Z79" s="785"/>
      <c r="AA79" s="547">
        <v>0</v>
      </c>
      <c r="AB79" s="587"/>
      <c r="AC79" s="587"/>
      <c r="AD79" s="587"/>
      <c r="AE79" s="588"/>
      <c r="AF79" s="588"/>
      <c r="AG79" s="588"/>
      <c r="AH79" s="592"/>
      <c r="AI79" s="592"/>
      <c r="AJ79" s="592"/>
      <c r="AK79" s="592"/>
      <c r="AL79" s="592"/>
      <c r="AM79" s="592"/>
      <c r="AN79" s="592"/>
      <c r="AO79" s="592"/>
      <c r="AP79" s="592"/>
      <c r="AQ79" s="592"/>
      <c r="AR79" s="592"/>
      <c r="AS79" s="592"/>
      <c r="AT79" s="585"/>
      <c r="AU79" s="585"/>
      <c r="AV79" s="789"/>
    </row>
    <row r="80" spans="1:49" s="1" customFormat="1" ht="74.25" customHeight="1" thickBot="1">
      <c r="A80" s="893"/>
      <c r="B80" s="758"/>
      <c r="C80" s="758"/>
      <c r="D80" s="758"/>
      <c r="E80" s="758"/>
      <c r="F80" s="760" t="s">
        <v>72</v>
      </c>
      <c r="G80" s="760">
        <v>2</v>
      </c>
      <c r="H80" s="758"/>
      <c r="I80" s="758"/>
      <c r="J80" s="759"/>
      <c r="K80" s="759"/>
      <c r="L80" s="757"/>
      <c r="M80" s="757"/>
      <c r="N80" s="750"/>
      <c r="O80" s="758"/>
      <c r="P80" s="721" t="s">
        <v>257</v>
      </c>
      <c r="Q80" s="721" t="s">
        <v>72</v>
      </c>
      <c r="R80" s="721">
        <v>12</v>
      </c>
      <c r="S80" s="721">
        <v>3</v>
      </c>
      <c r="T80" s="721">
        <v>3</v>
      </c>
      <c r="U80" s="721">
        <v>3</v>
      </c>
      <c r="V80" s="357">
        <v>3</v>
      </c>
      <c r="W80" s="778"/>
      <c r="X80" s="770"/>
      <c r="Y80" s="785"/>
      <c r="Z80" s="785"/>
      <c r="AA80" s="547">
        <v>3</v>
      </c>
      <c r="AB80" s="587"/>
      <c r="AC80" s="587"/>
      <c r="AD80" s="587"/>
      <c r="AE80" s="588"/>
      <c r="AF80" s="588"/>
      <c r="AG80" s="588"/>
      <c r="AH80" s="592"/>
      <c r="AI80" s="592"/>
      <c r="AJ80" s="592"/>
      <c r="AK80" s="592"/>
      <c r="AL80" s="592"/>
      <c r="AM80" s="592"/>
      <c r="AN80" s="592"/>
      <c r="AO80" s="592"/>
      <c r="AP80" s="592"/>
      <c r="AQ80" s="592"/>
      <c r="AR80" s="592"/>
      <c r="AS80" s="592"/>
      <c r="AT80" s="585" t="s">
        <v>244</v>
      </c>
      <c r="AU80" s="585" t="s">
        <v>244</v>
      </c>
      <c r="AV80" s="789"/>
    </row>
    <row r="81" spans="1:48" s="1" customFormat="1" ht="44.25" customHeight="1" thickBot="1">
      <c r="A81" s="893"/>
      <c r="B81" s="758"/>
      <c r="C81" s="758"/>
      <c r="D81" s="758"/>
      <c r="E81" s="758"/>
      <c r="F81" s="758"/>
      <c r="G81" s="758"/>
      <c r="H81" s="758"/>
      <c r="I81" s="758"/>
      <c r="J81" s="760" t="s">
        <v>258</v>
      </c>
      <c r="K81" s="760" t="s">
        <v>135</v>
      </c>
      <c r="L81" s="749">
        <v>10.9</v>
      </c>
      <c r="M81" s="749">
        <v>10</v>
      </c>
      <c r="N81" s="750"/>
      <c r="O81" s="758"/>
      <c r="P81" s="721" t="s">
        <v>256</v>
      </c>
      <c r="Q81" s="721" t="s">
        <v>72</v>
      </c>
      <c r="R81" s="721">
        <v>1</v>
      </c>
      <c r="S81" s="721">
        <v>0</v>
      </c>
      <c r="T81" s="721">
        <v>0</v>
      </c>
      <c r="U81" s="721">
        <v>1</v>
      </c>
      <c r="V81" s="357">
        <v>0</v>
      </c>
      <c r="W81" s="778"/>
      <c r="X81" s="770"/>
      <c r="Y81" s="785"/>
      <c r="Z81" s="785"/>
      <c r="AA81" s="547">
        <v>3</v>
      </c>
      <c r="AB81" s="587"/>
      <c r="AC81" s="587"/>
      <c r="AD81" s="587"/>
      <c r="AE81" s="588"/>
      <c r="AF81" s="588"/>
      <c r="AG81" s="588"/>
      <c r="AH81" s="592"/>
      <c r="AI81" s="592"/>
      <c r="AJ81" s="592"/>
      <c r="AK81" s="592"/>
      <c r="AL81" s="592"/>
      <c r="AM81" s="592"/>
      <c r="AN81" s="592"/>
      <c r="AO81" s="592"/>
      <c r="AP81" s="592"/>
      <c r="AQ81" s="592"/>
      <c r="AR81" s="592"/>
      <c r="AS81" s="592"/>
      <c r="AT81" s="585"/>
      <c r="AU81" s="585"/>
      <c r="AV81" s="789"/>
    </row>
    <row r="82" spans="1:48" s="1" customFormat="1" ht="73.5" customHeight="1" thickBot="1">
      <c r="A82" s="893"/>
      <c r="B82" s="758"/>
      <c r="C82" s="758"/>
      <c r="D82" s="758"/>
      <c r="E82" s="758"/>
      <c r="F82" s="758"/>
      <c r="G82" s="758"/>
      <c r="H82" s="758"/>
      <c r="I82" s="758"/>
      <c r="J82" s="758"/>
      <c r="K82" s="758"/>
      <c r="L82" s="750"/>
      <c r="M82" s="750"/>
      <c r="N82" s="750"/>
      <c r="O82" s="758"/>
      <c r="P82" s="721" t="s">
        <v>259</v>
      </c>
      <c r="Q82" s="721" t="s">
        <v>72</v>
      </c>
      <c r="R82" s="721">
        <v>12</v>
      </c>
      <c r="S82" s="721">
        <v>3</v>
      </c>
      <c r="T82" s="721">
        <v>3</v>
      </c>
      <c r="U82" s="721">
        <v>3</v>
      </c>
      <c r="V82" s="357">
        <v>3</v>
      </c>
      <c r="W82" s="778"/>
      <c r="X82" s="770"/>
      <c r="Y82" s="785"/>
      <c r="Z82" s="785"/>
      <c r="AA82" s="547">
        <v>3</v>
      </c>
      <c r="AB82" s="587"/>
      <c r="AC82" s="587"/>
      <c r="AD82" s="587"/>
      <c r="AE82" s="588"/>
      <c r="AF82" s="588"/>
      <c r="AG82" s="588"/>
      <c r="AH82" s="592"/>
      <c r="AI82" s="592"/>
      <c r="AJ82" s="592"/>
      <c r="AK82" s="592"/>
      <c r="AL82" s="592"/>
      <c r="AM82" s="592"/>
      <c r="AN82" s="592"/>
      <c r="AO82" s="592"/>
      <c r="AP82" s="592"/>
      <c r="AQ82" s="592"/>
      <c r="AR82" s="592"/>
      <c r="AS82" s="592"/>
      <c r="AT82" s="585"/>
      <c r="AU82" s="585"/>
      <c r="AV82" s="789"/>
    </row>
    <row r="83" spans="1:48" s="1" customFormat="1" ht="54" customHeight="1" thickBot="1">
      <c r="A83" s="893"/>
      <c r="B83" s="758"/>
      <c r="C83" s="758"/>
      <c r="D83" s="758"/>
      <c r="E83" s="758"/>
      <c r="F83" s="758"/>
      <c r="G83" s="758"/>
      <c r="H83" s="758"/>
      <c r="I83" s="758"/>
      <c r="J83" s="760" t="s">
        <v>260</v>
      </c>
      <c r="K83" s="760" t="s">
        <v>135</v>
      </c>
      <c r="L83" s="749">
        <v>13.2</v>
      </c>
      <c r="M83" s="749">
        <v>12</v>
      </c>
      <c r="N83" s="750"/>
      <c r="O83" s="758"/>
      <c r="P83" s="721" t="s">
        <v>256</v>
      </c>
      <c r="Q83" s="721" t="s">
        <v>72</v>
      </c>
      <c r="R83" s="721">
        <v>12</v>
      </c>
      <c r="S83" s="721">
        <v>3</v>
      </c>
      <c r="T83" s="721">
        <v>3</v>
      </c>
      <c r="U83" s="721">
        <v>3</v>
      </c>
      <c r="V83" s="357">
        <v>3</v>
      </c>
      <c r="W83" s="778"/>
      <c r="X83" s="770"/>
      <c r="Y83" s="785"/>
      <c r="Z83" s="785"/>
      <c r="AA83" s="547">
        <v>3</v>
      </c>
      <c r="AB83" s="587"/>
      <c r="AC83" s="587"/>
      <c r="AD83" s="587"/>
      <c r="AE83" s="588"/>
      <c r="AF83" s="588"/>
      <c r="AG83" s="588"/>
      <c r="AH83" s="592"/>
      <c r="AI83" s="592"/>
      <c r="AJ83" s="592"/>
      <c r="AK83" s="592"/>
      <c r="AL83" s="592"/>
      <c r="AM83" s="592"/>
      <c r="AN83" s="592"/>
      <c r="AO83" s="592"/>
      <c r="AP83" s="592"/>
      <c r="AQ83" s="592"/>
      <c r="AR83" s="592"/>
      <c r="AS83" s="592"/>
      <c r="AT83" s="585"/>
      <c r="AU83" s="585"/>
      <c r="AV83" s="789"/>
    </row>
    <row r="84" spans="1:48" s="1" customFormat="1" ht="75.75" customHeight="1" thickBot="1">
      <c r="A84" s="893"/>
      <c r="B84" s="758"/>
      <c r="C84" s="758"/>
      <c r="D84" s="758"/>
      <c r="E84" s="758"/>
      <c r="F84" s="758"/>
      <c r="G84" s="758"/>
      <c r="H84" s="758"/>
      <c r="I84" s="758"/>
      <c r="J84" s="758"/>
      <c r="K84" s="758"/>
      <c r="L84" s="750"/>
      <c r="M84" s="750"/>
      <c r="N84" s="750"/>
      <c r="O84" s="758"/>
      <c r="P84" s="721" t="s">
        <v>261</v>
      </c>
      <c r="Q84" s="721" t="s">
        <v>72</v>
      </c>
      <c r="R84" s="721">
        <v>12</v>
      </c>
      <c r="S84" s="721">
        <v>3</v>
      </c>
      <c r="T84" s="721">
        <v>3</v>
      </c>
      <c r="U84" s="721">
        <v>3</v>
      </c>
      <c r="V84" s="357">
        <v>3</v>
      </c>
      <c r="W84" s="778"/>
      <c r="X84" s="770"/>
      <c r="Y84" s="785"/>
      <c r="Z84" s="785"/>
      <c r="AA84" s="547">
        <v>3</v>
      </c>
      <c r="AB84" s="587"/>
      <c r="AC84" s="587"/>
      <c r="AD84" s="587"/>
      <c r="AE84" s="588"/>
      <c r="AF84" s="588"/>
      <c r="AG84" s="588"/>
      <c r="AH84" s="592"/>
      <c r="AI84" s="592"/>
      <c r="AJ84" s="592"/>
      <c r="AK84" s="592"/>
      <c r="AL84" s="592"/>
      <c r="AM84" s="592"/>
      <c r="AN84" s="592"/>
      <c r="AO84" s="592"/>
      <c r="AP84" s="592"/>
      <c r="AQ84" s="592"/>
      <c r="AR84" s="592"/>
      <c r="AS84" s="592"/>
      <c r="AT84" s="585"/>
      <c r="AU84" s="585"/>
      <c r="AV84" s="789"/>
    </row>
    <row r="85" spans="1:48" s="1" customFormat="1" ht="35.25" customHeight="1" thickBot="1">
      <c r="A85" s="893"/>
      <c r="B85" s="758"/>
      <c r="C85" s="758"/>
      <c r="D85" s="758"/>
      <c r="E85" s="758"/>
      <c r="F85" s="758"/>
      <c r="G85" s="758"/>
      <c r="H85" s="758"/>
      <c r="I85" s="758"/>
      <c r="J85" s="760" t="s">
        <v>262</v>
      </c>
      <c r="K85" s="760" t="s">
        <v>135</v>
      </c>
      <c r="L85" s="749">
        <v>15</v>
      </c>
      <c r="M85" s="749">
        <v>15</v>
      </c>
      <c r="N85" s="750"/>
      <c r="O85" s="758"/>
      <c r="P85" s="721" t="s">
        <v>263</v>
      </c>
      <c r="Q85" s="721" t="s">
        <v>72</v>
      </c>
      <c r="R85" s="721">
        <v>1</v>
      </c>
      <c r="S85" s="721">
        <v>0</v>
      </c>
      <c r="T85" s="721">
        <v>0</v>
      </c>
      <c r="U85" s="721">
        <v>1</v>
      </c>
      <c r="V85" s="357">
        <v>0</v>
      </c>
      <c r="W85" s="778"/>
      <c r="X85" s="770"/>
      <c r="Y85" s="785"/>
      <c r="Z85" s="785"/>
      <c r="AA85" s="547">
        <v>0</v>
      </c>
      <c r="AB85" s="587"/>
      <c r="AC85" s="587"/>
      <c r="AD85" s="587"/>
      <c r="AE85" s="588"/>
      <c r="AF85" s="588"/>
      <c r="AG85" s="588"/>
      <c r="AH85" s="592"/>
      <c r="AI85" s="592"/>
      <c r="AJ85" s="592"/>
      <c r="AK85" s="592"/>
      <c r="AL85" s="592"/>
      <c r="AM85" s="592"/>
      <c r="AN85" s="592"/>
      <c r="AO85" s="592"/>
      <c r="AP85" s="592"/>
      <c r="AQ85" s="592"/>
      <c r="AR85" s="592"/>
      <c r="AS85" s="592"/>
      <c r="AT85" s="585"/>
      <c r="AU85" s="585"/>
      <c r="AV85" s="789"/>
    </row>
    <row r="86" spans="1:48" s="1" customFormat="1" ht="55.5" customHeight="1" thickBot="1">
      <c r="A86" s="893"/>
      <c r="B86" s="758"/>
      <c r="C86" s="758"/>
      <c r="D86" s="758"/>
      <c r="E86" s="758"/>
      <c r="F86" s="758"/>
      <c r="G86" s="758"/>
      <c r="H86" s="758"/>
      <c r="I86" s="758"/>
      <c r="J86" s="758"/>
      <c r="K86" s="758"/>
      <c r="L86" s="750"/>
      <c r="M86" s="750"/>
      <c r="N86" s="750"/>
      <c r="O86" s="758"/>
      <c r="P86" s="721" t="s">
        <v>264</v>
      </c>
      <c r="Q86" s="721" t="s">
        <v>72</v>
      </c>
      <c r="R86" s="721">
        <v>12</v>
      </c>
      <c r="S86" s="721">
        <v>3</v>
      </c>
      <c r="T86" s="721">
        <v>3</v>
      </c>
      <c r="U86" s="721">
        <v>3</v>
      </c>
      <c r="V86" s="357">
        <v>3</v>
      </c>
      <c r="W86" s="778"/>
      <c r="X86" s="770"/>
      <c r="Y86" s="785"/>
      <c r="Z86" s="785"/>
      <c r="AA86" s="547">
        <v>3</v>
      </c>
      <c r="AB86" s="587"/>
      <c r="AC86" s="587"/>
      <c r="AD86" s="587"/>
      <c r="AE86" s="588"/>
      <c r="AF86" s="588"/>
      <c r="AG86" s="588"/>
      <c r="AH86" s="592"/>
      <c r="AI86" s="592"/>
      <c r="AJ86" s="592"/>
      <c r="AK86" s="592"/>
      <c r="AL86" s="592"/>
      <c r="AM86" s="592"/>
      <c r="AN86" s="592"/>
      <c r="AO86" s="592"/>
      <c r="AP86" s="592"/>
      <c r="AQ86" s="592"/>
      <c r="AR86" s="592"/>
      <c r="AS86" s="592"/>
      <c r="AT86" s="585"/>
      <c r="AU86" s="585"/>
      <c r="AV86" s="789"/>
    </row>
    <row r="87" spans="1:48" s="1" customFormat="1" ht="43.5" thickBot="1">
      <c r="A87" s="893"/>
      <c r="B87" s="758"/>
      <c r="C87" s="758"/>
      <c r="D87" s="758"/>
      <c r="E87" s="758"/>
      <c r="F87" s="758"/>
      <c r="G87" s="758"/>
      <c r="H87" s="758"/>
      <c r="I87" s="758"/>
      <c r="J87" s="804" t="s">
        <v>265</v>
      </c>
      <c r="K87" s="760" t="s">
        <v>266</v>
      </c>
      <c r="L87" s="749">
        <v>21</v>
      </c>
      <c r="M87" s="749">
        <v>21</v>
      </c>
      <c r="N87" s="750"/>
      <c r="O87" s="758"/>
      <c r="P87" s="721" t="s">
        <v>256</v>
      </c>
      <c r="Q87" s="721" t="s">
        <v>72</v>
      </c>
      <c r="R87" s="721">
        <v>1</v>
      </c>
      <c r="S87" s="721">
        <v>0</v>
      </c>
      <c r="T87" s="721">
        <v>0</v>
      </c>
      <c r="U87" s="721">
        <v>1</v>
      </c>
      <c r="V87" s="357">
        <v>0</v>
      </c>
      <c r="W87" s="778"/>
      <c r="X87" s="770"/>
      <c r="Y87" s="785"/>
      <c r="Z87" s="785"/>
      <c r="AA87" s="547">
        <v>0</v>
      </c>
      <c r="AB87" s="587"/>
      <c r="AC87" s="587"/>
      <c r="AD87" s="587"/>
      <c r="AE87" s="588"/>
      <c r="AF87" s="588"/>
      <c r="AG87" s="588"/>
      <c r="AH87" s="592"/>
      <c r="AI87" s="592"/>
      <c r="AJ87" s="592"/>
      <c r="AK87" s="592"/>
      <c r="AL87" s="592"/>
      <c r="AM87" s="592"/>
      <c r="AN87" s="592"/>
      <c r="AO87" s="592"/>
      <c r="AP87" s="592"/>
      <c r="AQ87" s="592"/>
      <c r="AR87" s="592"/>
      <c r="AS87" s="592"/>
      <c r="AT87" s="585" t="s">
        <v>244</v>
      </c>
      <c r="AU87" s="585" t="s">
        <v>244</v>
      </c>
      <c r="AV87" s="789"/>
    </row>
    <row r="88" spans="1:48" s="1" customFormat="1" ht="53.25" customHeight="1" thickBot="1">
      <c r="A88" s="893"/>
      <c r="B88" s="758"/>
      <c r="C88" s="758"/>
      <c r="D88" s="758"/>
      <c r="E88" s="758"/>
      <c r="F88" s="758"/>
      <c r="G88" s="758"/>
      <c r="H88" s="758"/>
      <c r="I88" s="758"/>
      <c r="J88" s="804"/>
      <c r="K88" s="758"/>
      <c r="L88" s="750"/>
      <c r="M88" s="750"/>
      <c r="N88" s="750"/>
      <c r="O88" s="758"/>
      <c r="P88" s="721" t="s">
        <v>267</v>
      </c>
      <c r="Q88" s="721" t="s">
        <v>72</v>
      </c>
      <c r="R88" s="721">
        <v>12</v>
      </c>
      <c r="S88" s="721">
        <v>3</v>
      </c>
      <c r="T88" s="721">
        <v>3</v>
      </c>
      <c r="U88" s="721">
        <v>3</v>
      </c>
      <c r="V88" s="357">
        <v>3</v>
      </c>
      <c r="W88" s="778"/>
      <c r="X88" s="770"/>
      <c r="Y88" s="785"/>
      <c r="Z88" s="785"/>
      <c r="AA88" s="547">
        <v>3</v>
      </c>
      <c r="AB88" s="587"/>
      <c r="AC88" s="587"/>
      <c r="AD88" s="587"/>
      <c r="AE88" s="588"/>
      <c r="AF88" s="588"/>
      <c r="AG88" s="588"/>
      <c r="AH88" s="592"/>
      <c r="AI88" s="592"/>
      <c r="AJ88" s="592"/>
      <c r="AK88" s="592"/>
      <c r="AL88" s="592"/>
      <c r="AM88" s="592"/>
      <c r="AN88" s="592"/>
      <c r="AO88" s="592"/>
      <c r="AP88" s="592"/>
      <c r="AQ88" s="592"/>
      <c r="AR88" s="592"/>
      <c r="AS88" s="592"/>
      <c r="AT88" s="585"/>
      <c r="AU88" s="585"/>
      <c r="AV88" s="789"/>
    </row>
    <row r="89" spans="1:48" s="1" customFormat="1" ht="52.5" customHeight="1" thickBot="1">
      <c r="A89" s="893"/>
      <c r="B89" s="758"/>
      <c r="C89" s="758"/>
      <c r="D89" s="758"/>
      <c r="E89" s="758"/>
      <c r="F89" s="758"/>
      <c r="G89" s="758"/>
      <c r="H89" s="758"/>
      <c r="I89" s="758"/>
      <c r="J89" s="758" t="s">
        <v>268</v>
      </c>
      <c r="K89" s="760" t="s">
        <v>93</v>
      </c>
      <c r="L89" s="749">
        <v>90</v>
      </c>
      <c r="M89" s="749">
        <v>90</v>
      </c>
      <c r="N89" s="750"/>
      <c r="O89" s="758"/>
      <c r="P89" s="721" t="s">
        <v>256</v>
      </c>
      <c r="Q89" s="721" t="s">
        <v>72</v>
      </c>
      <c r="R89" s="721">
        <v>1</v>
      </c>
      <c r="S89" s="721">
        <v>0</v>
      </c>
      <c r="T89" s="721">
        <v>0</v>
      </c>
      <c r="U89" s="721">
        <v>1</v>
      </c>
      <c r="V89" s="357">
        <v>0</v>
      </c>
      <c r="W89" s="778"/>
      <c r="X89" s="770"/>
      <c r="Y89" s="785"/>
      <c r="Z89" s="785"/>
      <c r="AA89" s="547">
        <v>0</v>
      </c>
      <c r="AB89" s="587"/>
      <c r="AC89" s="587"/>
      <c r="AD89" s="587"/>
      <c r="AE89" s="588"/>
      <c r="AF89" s="588"/>
      <c r="AG89" s="588"/>
      <c r="AH89" s="592"/>
      <c r="AI89" s="592"/>
      <c r="AJ89" s="592"/>
      <c r="AK89" s="592"/>
      <c r="AL89" s="592"/>
      <c r="AM89" s="592"/>
      <c r="AN89" s="592"/>
      <c r="AO89" s="592"/>
      <c r="AP89" s="592"/>
      <c r="AQ89" s="592"/>
      <c r="AR89" s="592"/>
      <c r="AS89" s="592"/>
      <c r="AT89" s="585"/>
      <c r="AU89" s="585"/>
      <c r="AV89" s="789"/>
    </row>
    <row r="90" spans="1:48" s="1" customFormat="1" ht="77.25" customHeight="1" thickBot="1">
      <c r="A90" s="893"/>
      <c r="B90" s="758"/>
      <c r="C90" s="758"/>
      <c r="D90" s="758"/>
      <c r="E90" s="758"/>
      <c r="F90" s="758"/>
      <c r="G90" s="758"/>
      <c r="H90" s="758"/>
      <c r="I90" s="758"/>
      <c r="J90" s="758"/>
      <c r="K90" s="758"/>
      <c r="L90" s="750"/>
      <c r="M90" s="750"/>
      <c r="N90" s="750"/>
      <c r="O90" s="758"/>
      <c r="P90" s="721" t="s">
        <v>269</v>
      </c>
      <c r="Q90" s="721" t="s">
        <v>72</v>
      </c>
      <c r="R90" s="721">
        <v>12</v>
      </c>
      <c r="S90" s="721">
        <v>3</v>
      </c>
      <c r="T90" s="721">
        <v>3</v>
      </c>
      <c r="U90" s="721">
        <v>3</v>
      </c>
      <c r="V90" s="357">
        <v>3</v>
      </c>
      <c r="W90" s="778"/>
      <c r="X90" s="770"/>
      <c r="Y90" s="785"/>
      <c r="Z90" s="785"/>
      <c r="AA90" s="547">
        <v>3</v>
      </c>
      <c r="AB90" s="587"/>
      <c r="AC90" s="587"/>
      <c r="AD90" s="587"/>
      <c r="AE90" s="588"/>
      <c r="AF90" s="588"/>
      <c r="AG90" s="588"/>
      <c r="AH90" s="592"/>
      <c r="AI90" s="592"/>
      <c r="AJ90" s="592"/>
      <c r="AK90" s="592"/>
      <c r="AL90" s="592"/>
      <c r="AM90" s="592"/>
      <c r="AN90" s="592"/>
      <c r="AO90" s="592"/>
      <c r="AP90" s="592"/>
      <c r="AQ90" s="592"/>
      <c r="AR90" s="592"/>
      <c r="AS90" s="592"/>
      <c r="AT90" s="585" t="s">
        <v>244</v>
      </c>
      <c r="AU90" s="585" t="s">
        <v>244</v>
      </c>
      <c r="AV90" s="789"/>
    </row>
    <row r="91" spans="1:48" s="1" customFormat="1" ht="45" customHeight="1" thickBot="1">
      <c r="A91" s="893"/>
      <c r="B91" s="758"/>
      <c r="C91" s="758"/>
      <c r="D91" s="758"/>
      <c r="E91" s="758"/>
      <c r="F91" s="758"/>
      <c r="G91" s="758"/>
      <c r="H91" s="758"/>
      <c r="I91" s="758"/>
      <c r="J91" s="760" t="s">
        <v>270</v>
      </c>
      <c r="K91" s="760" t="s">
        <v>93</v>
      </c>
      <c r="L91" s="749">
        <v>85.1</v>
      </c>
      <c r="M91" s="749">
        <v>85</v>
      </c>
      <c r="N91" s="750"/>
      <c r="O91" s="758"/>
      <c r="P91" s="721" t="s">
        <v>256</v>
      </c>
      <c r="Q91" s="721" t="s">
        <v>72</v>
      </c>
      <c r="R91" s="721">
        <v>1</v>
      </c>
      <c r="S91" s="721">
        <v>0</v>
      </c>
      <c r="T91" s="721">
        <v>0</v>
      </c>
      <c r="U91" s="721">
        <v>1</v>
      </c>
      <c r="V91" s="357">
        <v>0</v>
      </c>
      <c r="W91" s="778"/>
      <c r="X91" s="770"/>
      <c r="Y91" s="785"/>
      <c r="Z91" s="785"/>
      <c r="AA91" s="547">
        <v>0</v>
      </c>
      <c r="AB91" s="587"/>
      <c r="AC91" s="587"/>
      <c r="AD91" s="587"/>
      <c r="AE91" s="588"/>
      <c r="AF91" s="588"/>
      <c r="AG91" s="588"/>
      <c r="AH91" s="592"/>
      <c r="AI91" s="592"/>
      <c r="AJ91" s="592"/>
      <c r="AK91" s="592"/>
      <c r="AL91" s="592"/>
      <c r="AM91" s="592"/>
      <c r="AN91" s="592"/>
      <c r="AO91" s="592"/>
      <c r="AP91" s="592"/>
      <c r="AQ91" s="592"/>
      <c r="AR91" s="592"/>
      <c r="AS91" s="592"/>
      <c r="AT91" s="585" t="s">
        <v>244</v>
      </c>
      <c r="AU91" s="585" t="s">
        <v>244</v>
      </c>
      <c r="AV91" s="789"/>
    </row>
    <row r="92" spans="1:48" s="1" customFormat="1" ht="70.5" customHeight="1" thickBot="1">
      <c r="A92" s="893"/>
      <c r="B92" s="758"/>
      <c r="C92" s="758"/>
      <c r="D92" s="758"/>
      <c r="E92" s="758"/>
      <c r="F92" s="758"/>
      <c r="G92" s="758"/>
      <c r="H92" s="758"/>
      <c r="I92" s="758"/>
      <c r="J92" s="758"/>
      <c r="K92" s="758"/>
      <c r="L92" s="750"/>
      <c r="M92" s="750"/>
      <c r="N92" s="750"/>
      <c r="O92" s="758"/>
      <c r="P92" s="721" t="s">
        <v>271</v>
      </c>
      <c r="Q92" s="721" t="s">
        <v>72</v>
      </c>
      <c r="R92" s="721">
        <v>12</v>
      </c>
      <c r="S92" s="721">
        <v>3</v>
      </c>
      <c r="T92" s="721">
        <v>3</v>
      </c>
      <c r="U92" s="721">
        <v>3</v>
      </c>
      <c r="V92" s="357">
        <v>3</v>
      </c>
      <c r="W92" s="778"/>
      <c r="X92" s="770"/>
      <c r="Y92" s="785"/>
      <c r="Z92" s="785"/>
      <c r="AA92" s="547">
        <v>3</v>
      </c>
      <c r="AB92" s="587"/>
      <c r="AC92" s="587"/>
      <c r="AD92" s="587"/>
      <c r="AE92" s="588"/>
      <c r="AF92" s="588"/>
      <c r="AG92" s="588"/>
      <c r="AH92" s="592"/>
      <c r="AI92" s="592"/>
      <c r="AJ92" s="592"/>
      <c r="AK92" s="592"/>
      <c r="AL92" s="592"/>
      <c r="AM92" s="592"/>
      <c r="AN92" s="592"/>
      <c r="AO92" s="592"/>
      <c r="AP92" s="592"/>
      <c r="AQ92" s="592"/>
      <c r="AR92" s="592"/>
      <c r="AS92" s="592"/>
      <c r="AT92" s="585"/>
      <c r="AU92" s="585"/>
      <c r="AV92" s="789"/>
    </row>
    <row r="93" spans="1:48" s="1" customFormat="1" ht="46.5" customHeight="1" thickBot="1">
      <c r="A93" s="893"/>
      <c r="B93" s="758"/>
      <c r="C93" s="758"/>
      <c r="D93" s="758"/>
      <c r="E93" s="758"/>
      <c r="F93" s="758"/>
      <c r="G93" s="758"/>
      <c r="H93" s="758"/>
      <c r="I93" s="758"/>
      <c r="J93" s="760" t="s">
        <v>272</v>
      </c>
      <c r="K93" s="760" t="s">
        <v>93</v>
      </c>
      <c r="L93" s="749">
        <v>95</v>
      </c>
      <c r="M93" s="749">
        <v>90</v>
      </c>
      <c r="N93" s="750"/>
      <c r="O93" s="758"/>
      <c r="P93" s="721" t="s">
        <v>256</v>
      </c>
      <c r="Q93" s="721" t="s">
        <v>72</v>
      </c>
      <c r="R93" s="721">
        <v>1</v>
      </c>
      <c r="S93" s="721">
        <v>0</v>
      </c>
      <c r="T93" s="721">
        <v>0</v>
      </c>
      <c r="U93" s="721">
        <v>1</v>
      </c>
      <c r="V93" s="357">
        <v>0</v>
      </c>
      <c r="W93" s="778"/>
      <c r="X93" s="770"/>
      <c r="Y93" s="785"/>
      <c r="Z93" s="785"/>
      <c r="AA93" s="547">
        <v>0</v>
      </c>
      <c r="AB93" s="587"/>
      <c r="AC93" s="587"/>
      <c r="AD93" s="587"/>
      <c r="AE93" s="588"/>
      <c r="AF93" s="588"/>
      <c r="AG93" s="588"/>
      <c r="AH93" s="592"/>
      <c r="AI93" s="592"/>
      <c r="AJ93" s="592"/>
      <c r="AK93" s="592"/>
      <c r="AL93" s="592"/>
      <c r="AM93" s="592"/>
      <c r="AN93" s="592"/>
      <c r="AO93" s="592"/>
      <c r="AP93" s="592"/>
      <c r="AQ93" s="592"/>
      <c r="AR93" s="592"/>
      <c r="AS93" s="592"/>
      <c r="AT93" s="585" t="s">
        <v>244</v>
      </c>
      <c r="AU93" s="585" t="s">
        <v>244</v>
      </c>
      <c r="AV93" s="789"/>
    </row>
    <row r="94" spans="1:48" s="1" customFormat="1" ht="46.5" customHeight="1" thickBot="1">
      <c r="A94" s="893"/>
      <c r="B94" s="758"/>
      <c r="C94" s="758"/>
      <c r="D94" s="758"/>
      <c r="E94" s="758"/>
      <c r="F94" s="758"/>
      <c r="G94" s="758"/>
      <c r="H94" s="758"/>
      <c r="I94" s="758"/>
      <c r="J94" s="758"/>
      <c r="K94" s="758"/>
      <c r="L94" s="750"/>
      <c r="M94" s="750"/>
      <c r="N94" s="750"/>
      <c r="O94" s="758"/>
      <c r="P94" s="721" t="s">
        <v>273</v>
      </c>
      <c r="Q94" s="721" t="s">
        <v>72</v>
      </c>
      <c r="R94" s="721">
        <v>12</v>
      </c>
      <c r="S94" s="721">
        <v>3</v>
      </c>
      <c r="T94" s="721">
        <v>3</v>
      </c>
      <c r="U94" s="721">
        <v>3</v>
      </c>
      <c r="V94" s="357">
        <v>3</v>
      </c>
      <c r="W94" s="778"/>
      <c r="X94" s="770"/>
      <c r="Y94" s="785"/>
      <c r="Z94" s="785"/>
      <c r="AA94" s="547">
        <v>3</v>
      </c>
      <c r="AB94" s="587"/>
      <c r="AC94" s="587"/>
      <c r="AD94" s="587"/>
      <c r="AE94" s="588"/>
      <c r="AF94" s="588"/>
      <c r="AG94" s="588"/>
      <c r="AH94" s="592"/>
      <c r="AI94" s="592"/>
      <c r="AJ94" s="592"/>
      <c r="AK94" s="592"/>
      <c r="AL94" s="592"/>
      <c r="AM94" s="592"/>
      <c r="AN94" s="592"/>
      <c r="AO94" s="592"/>
      <c r="AP94" s="592"/>
      <c r="AQ94" s="592"/>
      <c r="AR94" s="592"/>
      <c r="AS94" s="592"/>
      <c r="AT94" s="585"/>
      <c r="AU94" s="585"/>
      <c r="AV94" s="789"/>
    </row>
    <row r="95" spans="1:48" s="1" customFormat="1" ht="46.5" customHeight="1" thickBot="1">
      <c r="A95" s="893"/>
      <c r="B95" s="758"/>
      <c r="C95" s="758"/>
      <c r="D95" s="758"/>
      <c r="E95" s="758"/>
      <c r="F95" s="157"/>
      <c r="G95" s="157"/>
      <c r="H95" s="758"/>
      <c r="I95" s="758"/>
      <c r="J95" s="758" t="s">
        <v>274</v>
      </c>
      <c r="K95" s="758" t="s">
        <v>93</v>
      </c>
      <c r="L95" s="750">
        <v>98</v>
      </c>
      <c r="M95" s="750">
        <v>90</v>
      </c>
      <c r="N95" s="750"/>
      <c r="O95" s="758"/>
      <c r="P95" s="721" t="s">
        <v>256</v>
      </c>
      <c r="Q95" s="721" t="s">
        <v>72</v>
      </c>
      <c r="R95" s="721">
        <v>1</v>
      </c>
      <c r="S95" s="721">
        <v>0</v>
      </c>
      <c r="T95" s="721">
        <v>0</v>
      </c>
      <c r="U95" s="721">
        <v>1</v>
      </c>
      <c r="V95" s="357">
        <v>0</v>
      </c>
      <c r="W95" s="778"/>
      <c r="X95" s="770"/>
      <c r="Y95" s="785"/>
      <c r="Z95" s="785"/>
      <c r="AA95" s="547">
        <v>0</v>
      </c>
      <c r="AB95" s="587"/>
      <c r="AC95" s="587"/>
      <c r="AD95" s="587"/>
      <c r="AE95" s="588"/>
      <c r="AF95" s="588"/>
      <c r="AG95" s="588"/>
      <c r="AH95" s="592"/>
      <c r="AI95" s="592"/>
      <c r="AJ95" s="592"/>
      <c r="AK95" s="592"/>
      <c r="AL95" s="592"/>
      <c r="AM95" s="592"/>
      <c r="AN95" s="592"/>
      <c r="AO95" s="592"/>
      <c r="AP95" s="592"/>
      <c r="AQ95" s="592"/>
      <c r="AR95" s="592"/>
      <c r="AS95" s="592"/>
      <c r="AT95" s="585"/>
      <c r="AU95" s="585"/>
      <c r="AV95" s="789"/>
    </row>
    <row r="96" spans="1:48" s="1" customFormat="1" ht="67.5" customHeight="1" thickBot="1">
      <c r="A96" s="893"/>
      <c r="B96" s="758"/>
      <c r="C96" s="758"/>
      <c r="D96" s="758"/>
      <c r="E96" s="759"/>
      <c r="F96" s="157"/>
      <c r="G96" s="157"/>
      <c r="H96" s="759"/>
      <c r="I96" s="758"/>
      <c r="J96" s="759"/>
      <c r="K96" s="759"/>
      <c r="L96" s="757"/>
      <c r="M96" s="757"/>
      <c r="N96" s="750"/>
      <c r="O96" s="758"/>
      <c r="P96" s="721" t="s">
        <v>275</v>
      </c>
      <c r="Q96" s="721" t="s">
        <v>72</v>
      </c>
      <c r="R96" s="721">
        <v>12</v>
      </c>
      <c r="S96" s="721">
        <v>3</v>
      </c>
      <c r="T96" s="721">
        <v>3</v>
      </c>
      <c r="U96" s="721">
        <v>3</v>
      </c>
      <c r="V96" s="357">
        <v>3</v>
      </c>
      <c r="W96" s="778"/>
      <c r="X96" s="770"/>
      <c r="Y96" s="785"/>
      <c r="Z96" s="785"/>
      <c r="AA96" s="547">
        <v>3</v>
      </c>
      <c r="AB96" s="587"/>
      <c r="AC96" s="587"/>
      <c r="AD96" s="587"/>
      <c r="AE96" s="588"/>
      <c r="AF96" s="588"/>
      <c r="AG96" s="588"/>
      <c r="AH96" s="592"/>
      <c r="AI96" s="592"/>
      <c r="AJ96" s="592"/>
      <c r="AK96" s="592"/>
      <c r="AL96" s="592"/>
      <c r="AM96" s="592"/>
      <c r="AN96" s="592"/>
      <c r="AO96" s="592"/>
      <c r="AP96" s="592"/>
      <c r="AQ96" s="592"/>
      <c r="AR96" s="592"/>
      <c r="AS96" s="592"/>
      <c r="AT96" s="585"/>
      <c r="AU96" s="585"/>
      <c r="AV96" s="789"/>
    </row>
    <row r="97" spans="1:51" s="1" customFormat="1" ht="50.25" customHeight="1" thickBot="1">
      <c r="A97" s="893"/>
      <c r="B97" s="758"/>
      <c r="C97" s="758"/>
      <c r="D97" s="758"/>
      <c r="E97" s="760" t="s">
        <v>276</v>
      </c>
      <c r="F97" s="760" t="s">
        <v>68</v>
      </c>
      <c r="G97" s="760">
        <v>20</v>
      </c>
      <c r="H97" s="760">
        <v>100</v>
      </c>
      <c r="I97" s="758"/>
      <c r="J97" s="760" t="s">
        <v>277</v>
      </c>
      <c r="K97" s="760" t="s">
        <v>93</v>
      </c>
      <c r="L97" s="749">
        <v>100</v>
      </c>
      <c r="M97" s="749">
        <v>100</v>
      </c>
      <c r="N97" s="750"/>
      <c r="O97" s="758"/>
      <c r="P97" s="721" t="s">
        <v>256</v>
      </c>
      <c r="Q97" s="721" t="s">
        <v>72</v>
      </c>
      <c r="R97" s="721">
        <v>1</v>
      </c>
      <c r="S97" s="721">
        <v>0</v>
      </c>
      <c r="T97" s="721">
        <v>0</v>
      </c>
      <c r="U97" s="721">
        <v>1</v>
      </c>
      <c r="V97" s="357">
        <v>0</v>
      </c>
      <c r="W97" s="778"/>
      <c r="X97" s="770"/>
      <c r="Y97" s="785"/>
      <c r="Z97" s="785"/>
      <c r="AA97" s="547">
        <v>0</v>
      </c>
      <c r="AB97" s="587"/>
      <c r="AC97" s="587"/>
      <c r="AD97" s="587"/>
      <c r="AE97" s="588"/>
      <c r="AF97" s="588"/>
      <c r="AG97" s="588"/>
      <c r="AH97" s="592"/>
      <c r="AI97" s="592"/>
      <c r="AJ97" s="592"/>
      <c r="AK97" s="592"/>
      <c r="AL97" s="592"/>
      <c r="AM97" s="592"/>
      <c r="AN97" s="592"/>
      <c r="AO97" s="592"/>
      <c r="AP97" s="592"/>
      <c r="AQ97" s="592"/>
      <c r="AR97" s="592"/>
      <c r="AS97" s="592"/>
      <c r="AT97" s="585" t="s">
        <v>244</v>
      </c>
      <c r="AU97" s="585" t="s">
        <v>244</v>
      </c>
      <c r="AV97" s="789"/>
    </row>
    <row r="98" spans="1:51" s="1" customFormat="1" ht="72" customHeight="1" thickBot="1">
      <c r="A98" s="893"/>
      <c r="B98" s="758"/>
      <c r="C98" s="758"/>
      <c r="D98" s="758"/>
      <c r="E98" s="758"/>
      <c r="F98" s="758"/>
      <c r="G98" s="758"/>
      <c r="H98" s="758"/>
      <c r="I98" s="758"/>
      <c r="J98" s="759"/>
      <c r="K98" s="759"/>
      <c r="L98" s="757"/>
      <c r="M98" s="757"/>
      <c r="N98" s="750"/>
      <c r="O98" s="758"/>
      <c r="P98" s="721" t="s">
        <v>278</v>
      </c>
      <c r="Q98" s="721" t="s">
        <v>72</v>
      </c>
      <c r="R98" s="721">
        <v>12</v>
      </c>
      <c r="S98" s="721">
        <v>3</v>
      </c>
      <c r="T98" s="721">
        <v>3</v>
      </c>
      <c r="U98" s="721">
        <v>3</v>
      </c>
      <c r="V98" s="357">
        <v>3</v>
      </c>
      <c r="W98" s="778"/>
      <c r="X98" s="770"/>
      <c r="Y98" s="785"/>
      <c r="Z98" s="785"/>
      <c r="AA98" s="547">
        <v>3</v>
      </c>
      <c r="AB98" s="587"/>
      <c r="AC98" s="587"/>
      <c r="AD98" s="587"/>
      <c r="AE98" s="588"/>
      <c r="AF98" s="588"/>
      <c r="AG98" s="588"/>
      <c r="AH98" s="592"/>
      <c r="AI98" s="592"/>
      <c r="AJ98" s="592"/>
      <c r="AK98" s="592"/>
      <c r="AL98" s="592"/>
      <c r="AM98" s="592"/>
      <c r="AN98" s="592"/>
      <c r="AO98" s="592"/>
      <c r="AP98" s="592"/>
      <c r="AQ98" s="592"/>
      <c r="AR98" s="592"/>
      <c r="AS98" s="592"/>
      <c r="AT98" s="585"/>
      <c r="AU98" s="585"/>
      <c r="AV98" s="789"/>
    </row>
    <row r="99" spans="1:51" s="1" customFormat="1" ht="57" customHeight="1" thickBot="1">
      <c r="A99" s="893"/>
      <c r="B99" s="758"/>
      <c r="C99" s="758"/>
      <c r="D99" s="758"/>
      <c r="E99" s="758"/>
      <c r="F99" s="758"/>
      <c r="G99" s="758"/>
      <c r="H99" s="758"/>
      <c r="I99" s="758"/>
      <c r="J99" s="760" t="s">
        <v>279</v>
      </c>
      <c r="K99" s="760" t="s">
        <v>93</v>
      </c>
      <c r="L99" s="749">
        <v>1.4</v>
      </c>
      <c r="M99" s="749">
        <v>1.4</v>
      </c>
      <c r="N99" s="750"/>
      <c r="O99" s="758"/>
      <c r="P99" s="721" t="s">
        <v>256</v>
      </c>
      <c r="Q99" s="721" t="s">
        <v>72</v>
      </c>
      <c r="R99" s="721">
        <v>1</v>
      </c>
      <c r="S99" s="721">
        <v>0</v>
      </c>
      <c r="T99" s="721">
        <v>0</v>
      </c>
      <c r="U99" s="721">
        <v>1</v>
      </c>
      <c r="V99" s="357">
        <v>0</v>
      </c>
      <c r="W99" s="778"/>
      <c r="X99" s="770"/>
      <c r="Y99" s="785"/>
      <c r="Z99" s="785"/>
      <c r="AA99" s="547">
        <v>0</v>
      </c>
      <c r="AB99" s="587"/>
      <c r="AC99" s="587"/>
      <c r="AD99" s="587"/>
      <c r="AE99" s="588"/>
      <c r="AF99" s="588"/>
      <c r="AG99" s="588"/>
      <c r="AH99" s="592"/>
      <c r="AI99" s="592"/>
      <c r="AJ99" s="592"/>
      <c r="AK99" s="592"/>
      <c r="AL99" s="592"/>
      <c r="AM99" s="592"/>
      <c r="AN99" s="592"/>
      <c r="AO99" s="592"/>
      <c r="AP99" s="592"/>
      <c r="AQ99" s="592"/>
      <c r="AR99" s="592"/>
      <c r="AS99" s="592"/>
      <c r="AT99" s="585"/>
      <c r="AU99" s="585"/>
      <c r="AV99" s="789"/>
    </row>
    <row r="100" spans="1:51" s="1" customFormat="1" ht="73.5" customHeight="1" thickBot="1">
      <c r="A100" s="893"/>
      <c r="B100" s="758"/>
      <c r="C100" s="758"/>
      <c r="D100" s="758"/>
      <c r="E100" s="759"/>
      <c r="F100" s="759"/>
      <c r="G100" s="759"/>
      <c r="H100" s="759"/>
      <c r="I100" s="759"/>
      <c r="J100" s="759"/>
      <c r="K100" s="759"/>
      <c r="L100" s="757"/>
      <c r="M100" s="757"/>
      <c r="N100" s="757"/>
      <c r="O100" s="759"/>
      <c r="P100" s="721" t="s">
        <v>280</v>
      </c>
      <c r="Q100" s="721" t="s">
        <v>72</v>
      </c>
      <c r="R100" s="721">
        <v>12</v>
      </c>
      <c r="S100" s="721">
        <v>3</v>
      </c>
      <c r="T100" s="721">
        <v>3</v>
      </c>
      <c r="U100" s="721">
        <v>3</v>
      </c>
      <c r="V100" s="357">
        <v>3</v>
      </c>
      <c r="W100" s="779"/>
      <c r="X100" s="776"/>
      <c r="Y100" s="786"/>
      <c r="Z100" s="786"/>
      <c r="AA100" s="547">
        <v>3</v>
      </c>
      <c r="AB100" s="587"/>
      <c r="AC100" s="587"/>
      <c r="AD100" s="587"/>
      <c r="AE100" s="590"/>
      <c r="AF100" s="588"/>
      <c r="AG100" s="588"/>
      <c r="AH100" s="592"/>
      <c r="AI100" s="592"/>
      <c r="AJ100" s="592"/>
      <c r="AK100" s="592"/>
      <c r="AL100" s="592"/>
      <c r="AM100" s="592"/>
      <c r="AN100" s="592"/>
      <c r="AO100" s="592"/>
      <c r="AP100" s="592"/>
      <c r="AQ100" s="592"/>
      <c r="AR100" s="592"/>
      <c r="AS100" s="592"/>
      <c r="AT100" s="585" t="s">
        <v>244</v>
      </c>
      <c r="AU100" s="585" t="s">
        <v>244</v>
      </c>
      <c r="AV100" s="789"/>
    </row>
    <row r="101" spans="1:51" s="1" customFormat="1" ht="70.5" customHeight="1" thickBot="1">
      <c r="A101" s="893"/>
      <c r="B101" s="758"/>
      <c r="C101" s="758"/>
      <c r="D101" s="758"/>
      <c r="E101" s="760" t="s">
        <v>281</v>
      </c>
      <c r="F101" s="760" t="s">
        <v>68</v>
      </c>
      <c r="G101" s="760" t="s">
        <v>69</v>
      </c>
      <c r="H101" s="760">
        <v>90</v>
      </c>
      <c r="I101" s="760" t="s">
        <v>282</v>
      </c>
      <c r="J101" s="760" t="s">
        <v>283</v>
      </c>
      <c r="K101" s="760" t="s">
        <v>72</v>
      </c>
      <c r="L101" s="749" t="s">
        <v>69</v>
      </c>
      <c r="M101" s="749">
        <v>0</v>
      </c>
      <c r="N101" s="749"/>
      <c r="O101" s="760" t="s">
        <v>284</v>
      </c>
      <c r="P101" s="215" t="s">
        <v>285</v>
      </c>
      <c r="Q101" s="215" t="s">
        <v>72</v>
      </c>
      <c r="R101" s="215">
        <v>2</v>
      </c>
      <c r="S101" s="215">
        <v>0</v>
      </c>
      <c r="T101" s="215">
        <v>1</v>
      </c>
      <c r="U101" s="215">
        <v>0</v>
      </c>
      <c r="V101" s="219">
        <v>1</v>
      </c>
      <c r="W101" s="581" t="s">
        <v>286</v>
      </c>
      <c r="X101" s="581" t="s">
        <v>76</v>
      </c>
      <c r="Y101" s="784">
        <v>33707649030.882439</v>
      </c>
      <c r="Z101" s="784">
        <f>+Y101</f>
        <v>33707649030.882439</v>
      </c>
      <c r="AA101" s="547">
        <v>0</v>
      </c>
      <c r="AB101" s="587"/>
      <c r="AC101" s="587"/>
      <c r="AD101" s="587"/>
      <c r="AE101" s="590"/>
      <c r="AF101" s="590"/>
      <c r="AG101" s="590"/>
      <c r="AH101" s="591"/>
      <c r="AI101" s="591"/>
      <c r="AJ101" s="591"/>
      <c r="AK101" s="591"/>
      <c r="AL101" s="591"/>
      <c r="AM101" s="591"/>
      <c r="AN101" s="591"/>
      <c r="AO101" s="591"/>
      <c r="AP101" s="591"/>
      <c r="AQ101" s="591"/>
      <c r="AR101" s="591"/>
      <c r="AS101" s="591"/>
      <c r="AT101" s="585" t="s">
        <v>244</v>
      </c>
      <c r="AU101" s="585" t="s">
        <v>244</v>
      </c>
      <c r="AV101" s="789"/>
    </row>
    <row r="102" spans="1:51" s="1" customFormat="1" ht="59.25" customHeight="1" thickBot="1">
      <c r="A102" s="893"/>
      <c r="B102" s="758"/>
      <c r="C102" s="758"/>
      <c r="D102" s="758"/>
      <c r="E102" s="758"/>
      <c r="F102" s="758"/>
      <c r="G102" s="758"/>
      <c r="H102" s="758"/>
      <c r="I102" s="758"/>
      <c r="J102" s="758"/>
      <c r="K102" s="758"/>
      <c r="L102" s="750"/>
      <c r="M102" s="750"/>
      <c r="N102" s="750"/>
      <c r="O102" s="758"/>
      <c r="P102" s="215" t="s">
        <v>287</v>
      </c>
      <c r="Q102" s="215" t="s">
        <v>72</v>
      </c>
      <c r="R102" s="215">
        <v>2</v>
      </c>
      <c r="S102" s="215">
        <v>0</v>
      </c>
      <c r="T102" s="215">
        <v>1</v>
      </c>
      <c r="U102" s="215">
        <v>0</v>
      </c>
      <c r="V102" s="213">
        <v>1</v>
      </c>
      <c r="W102" s="1268"/>
      <c r="X102" s="581" t="s">
        <v>76</v>
      </c>
      <c r="Y102" s="785"/>
      <c r="Z102" s="785"/>
      <c r="AA102" s="547">
        <v>0</v>
      </c>
      <c r="AB102" s="587"/>
      <c r="AC102" s="587"/>
      <c r="AD102" s="587"/>
      <c r="AE102" s="590"/>
      <c r="AF102" s="590"/>
      <c r="AG102" s="590"/>
      <c r="AH102" s="591"/>
      <c r="AI102" s="591"/>
      <c r="AJ102" s="591"/>
      <c r="AK102" s="591"/>
      <c r="AL102" s="591"/>
      <c r="AM102" s="591"/>
      <c r="AN102" s="591"/>
      <c r="AO102" s="591"/>
      <c r="AP102" s="591"/>
      <c r="AQ102" s="591"/>
      <c r="AR102" s="591"/>
      <c r="AS102" s="591"/>
      <c r="AT102" s="585"/>
      <c r="AU102" s="585"/>
      <c r="AV102" s="789"/>
    </row>
    <row r="103" spans="1:51" s="1" customFormat="1" ht="86.25" customHeight="1" thickBot="1">
      <c r="A103" s="893"/>
      <c r="B103" s="758"/>
      <c r="C103" s="760" t="s">
        <v>288</v>
      </c>
      <c r="D103" s="760" t="s">
        <v>289</v>
      </c>
      <c r="E103" s="159" t="s">
        <v>290</v>
      </c>
      <c r="F103" s="58" t="s">
        <v>68</v>
      </c>
      <c r="G103" s="58" t="s">
        <v>69</v>
      </c>
      <c r="H103" s="159">
        <v>20</v>
      </c>
      <c r="I103" s="159" t="s">
        <v>291</v>
      </c>
      <c r="J103" s="159" t="s">
        <v>292</v>
      </c>
      <c r="K103" s="159" t="s">
        <v>72</v>
      </c>
      <c r="L103" s="195" t="s">
        <v>69</v>
      </c>
      <c r="M103" s="195">
        <v>0</v>
      </c>
      <c r="N103" s="195"/>
      <c r="O103" s="159" t="s">
        <v>293</v>
      </c>
      <c r="P103" s="215" t="s">
        <v>294</v>
      </c>
      <c r="Q103" s="215" t="s">
        <v>142</v>
      </c>
      <c r="R103" s="215">
        <v>1</v>
      </c>
      <c r="S103" s="215">
        <v>0</v>
      </c>
      <c r="T103" s="215">
        <v>0</v>
      </c>
      <c r="U103" s="215">
        <v>1</v>
      </c>
      <c r="V103" s="213">
        <v>0</v>
      </c>
      <c r="W103" s="361"/>
      <c r="X103" s="361" t="s">
        <v>76</v>
      </c>
      <c r="Y103" s="785"/>
      <c r="Z103" s="785"/>
      <c r="AA103" s="357">
        <v>0</v>
      </c>
      <c r="AB103" s="587"/>
      <c r="AC103" s="587"/>
      <c r="AD103" s="587"/>
      <c r="AE103" s="590"/>
      <c r="AF103" s="590"/>
      <c r="AG103" s="590"/>
      <c r="AH103" s="591"/>
      <c r="AI103" s="591"/>
      <c r="AJ103" s="591"/>
      <c r="AK103" s="591"/>
      <c r="AL103" s="591"/>
      <c r="AM103" s="591"/>
      <c r="AN103" s="591"/>
      <c r="AO103" s="591"/>
      <c r="AP103" s="591"/>
      <c r="AQ103" s="591"/>
      <c r="AR103" s="591"/>
      <c r="AS103" s="591"/>
      <c r="AT103" s="585" t="s">
        <v>244</v>
      </c>
      <c r="AU103" s="585" t="s">
        <v>244</v>
      </c>
      <c r="AV103" s="790"/>
    </row>
    <row r="104" spans="1:51" s="1" customFormat="1" ht="116.25" customHeight="1" thickBot="1">
      <c r="A104" s="893"/>
      <c r="B104" s="758"/>
      <c r="C104" s="758"/>
      <c r="D104" s="758"/>
      <c r="E104" s="760" t="s">
        <v>295</v>
      </c>
      <c r="F104" s="157"/>
      <c r="G104" s="159"/>
      <c r="H104" s="760">
        <v>10</v>
      </c>
      <c r="I104" s="159" t="s">
        <v>296</v>
      </c>
      <c r="J104" s="181" t="s">
        <v>297</v>
      </c>
      <c r="K104" s="159" t="s">
        <v>72</v>
      </c>
      <c r="L104" s="195" t="s">
        <v>69</v>
      </c>
      <c r="M104" s="719">
        <v>1</v>
      </c>
      <c r="N104" s="195"/>
      <c r="O104" s="159" t="s">
        <v>298</v>
      </c>
      <c r="P104" s="721" t="s">
        <v>299</v>
      </c>
      <c r="Q104" s="721" t="s">
        <v>300</v>
      </c>
      <c r="R104" s="721">
        <v>1</v>
      </c>
      <c r="S104" s="721">
        <v>0</v>
      </c>
      <c r="T104" s="721">
        <v>0</v>
      </c>
      <c r="U104" s="721">
        <v>0</v>
      </c>
      <c r="V104" s="357">
        <v>1</v>
      </c>
      <c r="W104" s="359"/>
      <c r="X104" s="775" t="s">
        <v>76</v>
      </c>
      <c r="Y104" s="785"/>
      <c r="Z104" s="785"/>
      <c r="AA104" s="357">
        <v>0</v>
      </c>
      <c r="AB104" s="587"/>
      <c r="AC104" s="587"/>
      <c r="AD104" s="587"/>
      <c r="AE104" s="590"/>
      <c r="AF104" s="590"/>
      <c r="AG104" s="590"/>
      <c r="AH104" s="591"/>
      <c r="AI104" s="591"/>
      <c r="AJ104" s="591"/>
      <c r="AK104" s="591"/>
      <c r="AL104" s="591"/>
      <c r="AM104" s="591"/>
      <c r="AN104" s="591"/>
      <c r="AO104" s="591"/>
      <c r="AP104" s="591"/>
      <c r="AQ104" s="591"/>
      <c r="AR104" s="591"/>
      <c r="AS104" s="591"/>
      <c r="AT104" s="585"/>
      <c r="AU104" s="585"/>
      <c r="AV104" s="136"/>
    </row>
    <row r="105" spans="1:51" s="1" customFormat="1" ht="62.25" customHeight="1" thickBot="1">
      <c r="A105" s="893"/>
      <c r="B105" s="758"/>
      <c r="C105" s="758"/>
      <c r="D105" s="758"/>
      <c r="E105" s="758"/>
      <c r="F105" s="158"/>
      <c r="G105" s="158"/>
      <c r="H105" s="758"/>
      <c r="I105" s="159" t="s">
        <v>301</v>
      </c>
      <c r="J105" s="58" t="s">
        <v>302</v>
      </c>
      <c r="K105" s="175" t="s">
        <v>72</v>
      </c>
      <c r="L105" s="195" t="s">
        <v>69</v>
      </c>
      <c r="M105" s="719">
        <v>1</v>
      </c>
      <c r="N105" s="195"/>
      <c r="O105" s="195" t="s">
        <v>303</v>
      </c>
      <c r="P105" s="721" t="s">
        <v>304</v>
      </c>
      <c r="Q105" s="721" t="s">
        <v>86</v>
      </c>
      <c r="R105" s="721">
        <v>1</v>
      </c>
      <c r="S105" s="721">
        <v>0</v>
      </c>
      <c r="T105" s="721">
        <v>0</v>
      </c>
      <c r="U105" s="721">
        <v>0</v>
      </c>
      <c r="V105" s="357">
        <v>1</v>
      </c>
      <c r="W105" s="359"/>
      <c r="X105" s="770"/>
      <c r="Y105" s="785"/>
      <c r="Z105" s="785"/>
      <c r="AA105" s="357">
        <v>0</v>
      </c>
      <c r="AB105" s="587"/>
      <c r="AC105" s="587"/>
      <c r="AD105" s="587"/>
      <c r="AE105" s="590"/>
      <c r="AF105" s="590"/>
      <c r="AG105" s="590"/>
      <c r="AH105" s="591"/>
      <c r="AI105" s="591"/>
      <c r="AJ105" s="591"/>
      <c r="AK105" s="591"/>
      <c r="AL105" s="591"/>
      <c r="AM105" s="591"/>
      <c r="AN105" s="591"/>
      <c r="AO105" s="591"/>
      <c r="AP105" s="591"/>
      <c r="AQ105" s="591"/>
      <c r="AR105" s="591"/>
      <c r="AS105" s="591"/>
      <c r="AT105" s="585" t="s">
        <v>244</v>
      </c>
      <c r="AU105" s="585" t="s">
        <v>244</v>
      </c>
      <c r="AV105" s="789"/>
    </row>
    <row r="106" spans="1:51" s="1" customFormat="1" ht="45" customHeight="1" thickBot="1">
      <c r="A106" s="893"/>
      <c r="B106" s="758"/>
      <c r="C106" s="758"/>
      <c r="D106" s="758"/>
      <c r="E106" s="766" t="s">
        <v>305</v>
      </c>
      <c r="F106" s="758" t="s">
        <v>306</v>
      </c>
      <c r="G106" s="758">
        <v>3</v>
      </c>
      <c r="H106" s="804">
        <v>3</v>
      </c>
      <c r="I106" s="804" t="s">
        <v>307</v>
      </c>
      <c r="J106" s="606" t="s">
        <v>308</v>
      </c>
      <c r="K106" s="606" t="s">
        <v>72</v>
      </c>
      <c r="L106" s="606">
        <v>1</v>
      </c>
      <c r="M106" s="606">
        <v>1</v>
      </c>
      <c r="N106" s="343"/>
      <c r="O106" s="342" t="s">
        <v>309</v>
      </c>
      <c r="P106" s="215" t="s">
        <v>310</v>
      </c>
      <c r="Q106" s="215" t="s">
        <v>98</v>
      </c>
      <c r="R106" s="215">
        <v>100</v>
      </c>
      <c r="S106" s="213">
        <v>25</v>
      </c>
      <c r="T106" s="213">
        <v>25</v>
      </c>
      <c r="U106" s="213">
        <v>25</v>
      </c>
      <c r="V106" s="213">
        <v>25</v>
      </c>
      <c r="W106" s="359"/>
      <c r="X106" s="770"/>
      <c r="Y106" s="785"/>
      <c r="Z106" s="785"/>
      <c r="AA106" s="547">
        <v>25</v>
      </c>
      <c r="AB106" s="587"/>
      <c r="AC106" s="587"/>
      <c r="AD106" s="587"/>
      <c r="AE106" s="590"/>
      <c r="AF106" s="590"/>
      <c r="AG106" s="590"/>
      <c r="AH106" s="591"/>
      <c r="AI106" s="591"/>
      <c r="AJ106" s="591"/>
      <c r="AK106" s="591"/>
      <c r="AL106" s="591"/>
      <c r="AM106" s="591"/>
      <c r="AN106" s="591"/>
      <c r="AO106" s="591"/>
      <c r="AP106" s="591"/>
      <c r="AQ106" s="591"/>
      <c r="AR106" s="591"/>
      <c r="AS106" s="591"/>
      <c r="AT106" s="585"/>
      <c r="AU106" s="585"/>
      <c r="AV106" s="789"/>
    </row>
    <row r="107" spans="1:51" s="1" customFormat="1" ht="65.25" customHeight="1" thickBot="1">
      <c r="A107" s="894"/>
      <c r="B107" s="805"/>
      <c r="C107" s="805"/>
      <c r="D107" s="805"/>
      <c r="E107" s="758"/>
      <c r="F107" s="805"/>
      <c r="G107" s="805"/>
      <c r="H107" s="804"/>
      <c r="I107" s="804"/>
      <c r="J107" s="168" t="s">
        <v>311</v>
      </c>
      <c r="K107" s="168" t="s">
        <v>93</v>
      </c>
      <c r="L107" s="60" t="s">
        <v>69</v>
      </c>
      <c r="M107" s="60">
        <v>90</v>
      </c>
      <c r="N107" s="63"/>
      <c r="O107" s="61" t="s">
        <v>312</v>
      </c>
      <c r="P107" s="721" t="s">
        <v>313</v>
      </c>
      <c r="Q107" s="721" t="s">
        <v>300</v>
      </c>
      <c r="R107" s="721">
        <v>1</v>
      </c>
      <c r="S107" s="721">
        <v>0</v>
      </c>
      <c r="T107" s="721">
        <v>0</v>
      </c>
      <c r="U107" s="721">
        <v>0</v>
      </c>
      <c r="V107" s="357">
        <v>1</v>
      </c>
      <c r="W107" s="359"/>
      <c r="X107" s="770"/>
      <c r="Y107" s="785"/>
      <c r="Z107" s="785"/>
      <c r="AA107" s="547">
        <v>0</v>
      </c>
      <c r="AB107" s="587"/>
      <c r="AC107" s="587"/>
      <c r="AD107" s="587"/>
      <c r="AE107" s="590"/>
      <c r="AF107" s="590"/>
      <c r="AG107" s="590"/>
      <c r="AH107" s="591"/>
      <c r="AI107" s="591"/>
      <c r="AJ107" s="591"/>
      <c r="AK107" s="591"/>
      <c r="AL107" s="591"/>
      <c r="AM107" s="591"/>
      <c r="AN107" s="591"/>
      <c r="AO107" s="591"/>
      <c r="AP107" s="591"/>
      <c r="AQ107" s="591"/>
      <c r="AR107" s="591"/>
      <c r="AS107" s="591"/>
      <c r="AT107" s="585" t="s">
        <v>244</v>
      </c>
      <c r="AU107" s="585" t="s">
        <v>244</v>
      </c>
      <c r="AV107" s="790"/>
    </row>
    <row r="108" spans="1:51" s="1" customFormat="1" ht="72" customHeight="1">
      <c r="A108" s="895" t="s">
        <v>314</v>
      </c>
      <c r="B108" s="898" t="s">
        <v>315</v>
      </c>
      <c r="C108" s="74" t="s">
        <v>316</v>
      </c>
      <c r="D108" s="74" t="s">
        <v>317</v>
      </c>
      <c r="E108" s="74" t="s">
        <v>318</v>
      </c>
      <c r="F108" s="74" t="s">
        <v>72</v>
      </c>
      <c r="G108" s="74" t="s">
        <v>69</v>
      </c>
      <c r="H108" s="74">
        <v>1</v>
      </c>
      <c r="I108" s="68" t="s">
        <v>319</v>
      </c>
      <c r="J108" s="68" t="s">
        <v>320</v>
      </c>
      <c r="K108" s="74" t="s">
        <v>72</v>
      </c>
      <c r="L108" s="74" t="s">
        <v>69</v>
      </c>
      <c r="M108" s="74">
        <v>1</v>
      </c>
      <c r="N108" s="69"/>
      <c r="O108" s="76" t="s">
        <v>321</v>
      </c>
      <c r="P108" s="721" t="s">
        <v>322</v>
      </c>
      <c r="Q108" s="721" t="s">
        <v>72</v>
      </c>
      <c r="R108" s="721">
        <v>1</v>
      </c>
      <c r="S108" s="721">
        <v>0</v>
      </c>
      <c r="T108" s="721">
        <v>0</v>
      </c>
      <c r="U108" s="721">
        <v>1</v>
      </c>
      <c r="V108" s="357">
        <v>0</v>
      </c>
      <c r="W108" s="360"/>
      <c r="X108" s="776"/>
      <c r="Y108" s="590">
        <v>0</v>
      </c>
      <c r="Z108" s="590">
        <v>0</v>
      </c>
      <c r="AA108" s="547">
        <v>0</v>
      </c>
      <c r="AB108" s="587"/>
      <c r="AC108" s="587"/>
      <c r="AE108" s="590"/>
      <c r="AF108" s="588"/>
      <c r="AG108" s="588"/>
      <c r="AH108" s="588"/>
      <c r="AI108" s="588"/>
      <c r="AJ108" s="588"/>
      <c r="AK108" s="588"/>
      <c r="AL108" s="588"/>
      <c r="AM108" s="588"/>
      <c r="AN108" s="588"/>
      <c r="AO108" s="588"/>
      <c r="AP108" s="588"/>
      <c r="AQ108" s="588"/>
      <c r="AR108" s="588"/>
      <c r="AS108" s="588"/>
      <c r="AT108" s="357" t="s">
        <v>323</v>
      </c>
      <c r="AU108" s="357" t="s">
        <v>323</v>
      </c>
      <c r="AV108" s="134"/>
    </row>
    <row r="109" spans="1:51" s="1" customFormat="1" ht="72" customHeight="1">
      <c r="A109" s="896"/>
      <c r="B109" s="754"/>
      <c r="C109" s="753" t="s">
        <v>324</v>
      </c>
      <c r="D109" s="753" t="s">
        <v>325</v>
      </c>
      <c r="E109" s="753" t="s">
        <v>326</v>
      </c>
      <c r="F109" s="753" t="s">
        <v>93</v>
      </c>
      <c r="G109" s="753" t="s">
        <v>69</v>
      </c>
      <c r="H109" s="753">
        <v>70</v>
      </c>
      <c r="I109" s="753" t="s">
        <v>327</v>
      </c>
      <c r="J109" s="753" t="s">
        <v>328</v>
      </c>
      <c r="K109" s="753" t="s">
        <v>72</v>
      </c>
      <c r="L109" s="753" t="s">
        <v>69</v>
      </c>
      <c r="M109" s="751">
        <v>0</v>
      </c>
      <c r="N109" s="751"/>
      <c r="O109" s="753" t="s">
        <v>329</v>
      </c>
      <c r="P109" s="215" t="s">
        <v>330</v>
      </c>
      <c r="Q109" s="215" t="s">
        <v>72</v>
      </c>
      <c r="R109" s="215">
        <v>2</v>
      </c>
      <c r="S109" s="215">
        <v>0</v>
      </c>
      <c r="T109" s="215">
        <v>1</v>
      </c>
      <c r="U109" s="215">
        <v>0</v>
      </c>
      <c r="V109" s="213">
        <v>1</v>
      </c>
      <c r="W109" s="775" t="s">
        <v>331</v>
      </c>
      <c r="X109" s="775" t="s">
        <v>76</v>
      </c>
      <c r="Y109" s="785">
        <v>129828893.23999999</v>
      </c>
      <c r="Z109" s="784">
        <f>Y109</f>
        <v>129828893.23999999</v>
      </c>
      <c r="AA109" s="547">
        <v>0</v>
      </c>
      <c r="AB109" s="587"/>
      <c r="AC109" s="587"/>
      <c r="AD109" s="587"/>
      <c r="AE109" s="590"/>
      <c r="AF109" s="588"/>
      <c r="AG109" s="588"/>
      <c r="AH109" s="588"/>
      <c r="AI109" s="588"/>
      <c r="AJ109" s="588"/>
      <c r="AK109" s="588"/>
      <c r="AL109" s="588"/>
      <c r="AM109" s="588"/>
      <c r="AN109" s="588"/>
      <c r="AO109" s="588"/>
      <c r="AP109" s="588"/>
      <c r="AQ109" s="588"/>
      <c r="AR109" s="588"/>
      <c r="AS109" s="588"/>
      <c r="AT109" s="357"/>
      <c r="AU109" s="357"/>
      <c r="AV109" s="155"/>
    </row>
    <row r="110" spans="1:51" s="1" customFormat="1" ht="72" customHeight="1">
      <c r="A110" s="896"/>
      <c r="B110" s="754"/>
      <c r="C110" s="754"/>
      <c r="D110" s="754"/>
      <c r="E110" s="754"/>
      <c r="F110" s="754"/>
      <c r="G110" s="754"/>
      <c r="H110" s="754"/>
      <c r="I110" s="754"/>
      <c r="J110" s="754"/>
      <c r="K110" s="754"/>
      <c r="L110" s="754"/>
      <c r="M110" s="756"/>
      <c r="N110" s="756"/>
      <c r="O110" s="754"/>
      <c r="P110" s="215" t="s">
        <v>332</v>
      </c>
      <c r="Q110" s="215" t="s">
        <v>72</v>
      </c>
      <c r="R110" s="215">
        <v>2</v>
      </c>
      <c r="S110" s="215">
        <v>0</v>
      </c>
      <c r="T110" s="215">
        <v>1</v>
      </c>
      <c r="U110" s="215">
        <v>0</v>
      </c>
      <c r="V110" s="213">
        <v>1</v>
      </c>
      <c r="W110" s="770"/>
      <c r="X110" s="770"/>
      <c r="Y110" s="785"/>
      <c r="Z110" s="785"/>
      <c r="AA110" s="547">
        <v>0</v>
      </c>
      <c r="AB110" s="587"/>
      <c r="AC110" s="587"/>
      <c r="AD110" s="587"/>
      <c r="AE110" s="590"/>
      <c r="AF110" s="588"/>
      <c r="AG110" s="588"/>
      <c r="AH110" s="588"/>
      <c r="AI110" s="588"/>
      <c r="AJ110" s="588"/>
      <c r="AK110" s="588"/>
      <c r="AL110" s="588"/>
      <c r="AM110" s="588"/>
      <c r="AN110" s="588"/>
      <c r="AO110" s="588"/>
      <c r="AP110" s="588"/>
      <c r="AQ110" s="588"/>
      <c r="AR110" s="588"/>
      <c r="AS110" s="588"/>
      <c r="AT110" s="357"/>
      <c r="AU110" s="357"/>
      <c r="AV110" s="155"/>
    </row>
    <row r="111" spans="1:51" s="1" customFormat="1" ht="52.5" customHeight="1">
      <c r="A111" s="896"/>
      <c r="B111" s="754"/>
      <c r="C111" s="754"/>
      <c r="D111" s="754"/>
      <c r="E111" s="754"/>
      <c r="F111" s="754"/>
      <c r="G111" s="754"/>
      <c r="H111" s="754"/>
      <c r="I111" s="754"/>
      <c r="J111" s="755"/>
      <c r="K111" s="755"/>
      <c r="L111" s="755"/>
      <c r="M111" s="752"/>
      <c r="N111" s="752"/>
      <c r="O111" s="755"/>
      <c r="P111" s="215" t="s">
        <v>333</v>
      </c>
      <c r="Q111" s="215" t="s">
        <v>86</v>
      </c>
      <c r="R111" s="215">
        <v>2</v>
      </c>
      <c r="S111" s="215">
        <v>0</v>
      </c>
      <c r="T111" s="215">
        <v>1</v>
      </c>
      <c r="U111" s="215">
        <v>0</v>
      </c>
      <c r="V111" s="213">
        <v>1</v>
      </c>
      <c r="W111" s="770"/>
      <c r="X111" s="770"/>
      <c r="Y111" s="785"/>
      <c r="Z111" s="785"/>
      <c r="AA111" s="547">
        <v>0</v>
      </c>
      <c r="AB111" s="587"/>
      <c r="AC111" s="587"/>
      <c r="AD111" s="587"/>
      <c r="AE111" s="251"/>
      <c r="AF111" s="588"/>
      <c r="AG111" s="588"/>
      <c r="AH111" s="588"/>
      <c r="AI111" s="588"/>
      <c r="AJ111" s="588"/>
      <c r="AK111" s="588"/>
      <c r="AL111" s="588"/>
      <c r="AM111" s="588"/>
      <c r="AN111" s="588"/>
      <c r="AO111" s="588"/>
      <c r="AP111" s="588"/>
      <c r="AQ111" s="588"/>
      <c r="AR111" s="588"/>
      <c r="AS111" s="588"/>
      <c r="AT111" s="357" t="s">
        <v>204</v>
      </c>
      <c r="AU111" s="357" t="s">
        <v>204</v>
      </c>
      <c r="AV111" s="788" t="s">
        <v>334</v>
      </c>
    </row>
    <row r="112" spans="1:51" s="1" customFormat="1" ht="42" customHeight="1">
      <c r="A112" s="896"/>
      <c r="B112" s="754"/>
      <c r="C112" s="754"/>
      <c r="D112" s="754"/>
      <c r="E112" s="754"/>
      <c r="F112" s="754"/>
      <c r="G112" s="754"/>
      <c r="H112" s="754"/>
      <c r="I112" s="754"/>
      <c r="J112" s="71" t="s">
        <v>335</v>
      </c>
      <c r="K112" s="71" t="s">
        <v>93</v>
      </c>
      <c r="L112" s="72" t="s">
        <v>69</v>
      </c>
      <c r="M112" s="72">
        <v>70</v>
      </c>
      <c r="N112" s="751"/>
      <c r="O112" s="751" t="s">
        <v>336</v>
      </c>
      <c r="P112" s="215" t="s">
        <v>337</v>
      </c>
      <c r="Q112" s="215" t="s">
        <v>72</v>
      </c>
      <c r="R112" s="215">
        <v>1</v>
      </c>
      <c r="S112" s="215">
        <v>1</v>
      </c>
      <c r="T112" s="215">
        <v>0</v>
      </c>
      <c r="U112" s="215">
        <v>0</v>
      </c>
      <c r="V112" s="213">
        <v>0</v>
      </c>
      <c r="W112" s="770"/>
      <c r="X112" s="770"/>
      <c r="Y112" s="785"/>
      <c r="Z112" s="785"/>
      <c r="AA112" s="547">
        <v>1</v>
      </c>
      <c r="AB112" s="587"/>
      <c r="AC112" s="587"/>
      <c r="AD112" s="587"/>
      <c r="AE112" s="590"/>
      <c r="AF112" s="588"/>
      <c r="AG112" s="588"/>
      <c r="AH112" s="588"/>
      <c r="AI112" s="588"/>
      <c r="AJ112" s="588"/>
      <c r="AK112" s="588"/>
      <c r="AL112" s="588"/>
      <c r="AM112" s="588"/>
      <c r="AN112" s="588"/>
      <c r="AO112" s="588"/>
      <c r="AP112" s="588"/>
      <c r="AQ112" s="588"/>
      <c r="AR112" s="588"/>
      <c r="AS112" s="588"/>
      <c r="AT112" s="357" t="s">
        <v>204</v>
      </c>
      <c r="AU112" s="357" t="s">
        <v>204</v>
      </c>
      <c r="AV112" s="789"/>
      <c r="AY112" s="1">
        <v>307118571.5</v>
      </c>
    </row>
    <row r="113" spans="1:48" s="1" customFormat="1" ht="42" customHeight="1">
      <c r="A113" s="896"/>
      <c r="B113" s="754"/>
      <c r="C113" s="754"/>
      <c r="D113" s="754"/>
      <c r="E113" s="754"/>
      <c r="F113" s="754"/>
      <c r="G113" s="754"/>
      <c r="H113" s="754"/>
      <c r="I113" s="754"/>
      <c r="J113" s="882" t="s">
        <v>338</v>
      </c>
      <c r="K113" s="753" t="s">
        <v>72</v>
      </c>
      <c r="L113" s="751">
        <v>7</v>
      </c>
      <c r="M113" s="751">
        <v>7</v>
      </c>
      <c r="N113" s="756"/>
      <c r="O113" s="756"/>
      <c r="P113" s="215" t="s">
        <v>339</v>
      </c>
      <c r="Q113" s="215" t="s">
        <v>340</v>
      </c>
      <c r="R113" s="215">
        <v>4</v>
      </c>
      <c r="S113" s="215">
        <v>1</v>
      </c>
      <c r="T113" s="215">
        <v>1</v>
      </c>
      <c r="U113" s="215">
        <v>1</v>
      </c>
      <c r="V113" s="213">
        <v>1</v>
      </c>
      <c r="W113" s="770"/>
      <c r="X113" s="770"/>
      <c r="Y113" s="785"/>
      <c r="Z113" s="785"/>
      <c r="AA113" s="547">
        <v>1</v>
      </c>
      <c r="AB113" s="587"/>
      <c r="AC113" s="587"/>
      <c r="AD113" s="587"/>
      <c r="AE113" s="590"/>
      <c r="AF113" s="588"/>
      <c r="AG113" s="588"/>
      <c r="AH113" s="588"/>
      <c r="AI113" s="588"/>
      <c r="AJ113" s="588"/>
      <c r="AK113" s="588"/>
      <c r="AL113" s="588"/>
      <c r="AM113" s="588"/>
      <c r="AN113" s="588"/>
      <c r="AO113" s="588"/>
      <c r="AP113" s="588"/>
      <c r="AQ113" s="588"/>
      <c r="AR113" s="588"/>
      <c r="AS113" s="588"/>
      <c r="AT113" s="357"/>
      <c r="AU113" s="357"/>
      <c r="AV113" s="789"/>
    </row>
    <row r="114" spans="1:48" s="1" customFormat="1" ht="42" customHeight="1">
      <c r="A114" s="896"/>
      <c r="B114" s="754"/>
      <c r="C114" s="754"/>
      <c r="D114" s="754"/>
      <c r="E114" s="754"/>
      <c r="F114" s="754"/>
      <c r="G114" s="754"/>
      <c r="H114" s="754"/>
      <c r="I114" s="754"/>
      <c r="J114" s="883"/>
      <c r="K114" s="754"/>
      <c r="L114" s="756"/>
      <c r="M114" s="756"/>
      <c r="N114" s="756"/>
      <c r="O114" s="756"/>
      <c r="P114" s="215" t="s">
        <v>341</v>
      </c>
      <c r="Q114" s="215" t="s">
        <v>72</v>
      </c>
      <c r="R114" s="215">
        <v>1</v>
      </c>
      <c r="S114" s="215">
        <v>0</v>
      </c>
      <c r="T114" s="215">
        <v>1</v>
      </c>
      <c r="U114" s="215">
        <v>0</v>
      </c>
      <c r="V114" s="213">
        <v>0</v>
      </c>
      <c r="W114" s="770"/>
      <c r="X114" s="770"/>
      <c r="Y114" s="785"/>
      <c r="Z114" s="785"/>
      <c r="AA114" s="547">
        <v>0</v>
      </c>
      <c r="AB114" s="587"/>
      <c r="AC114" s="587"/>
      <c r="AD114" s="587"/>
      <c r="AE114" s="590"/>
      <c r="AF114" s="588"/>
      <c r="AG114" s="588"/>
      <c r="AH114" s="588"/>
      <c r="AI114" s="588"/>
      <c r="AJ114" s="588"/>
      <c r="AK114" s="588"/>
      <c r="AL114" s="588"/>
      <c r="AM114" s="588"/>
      <c r="AN114" s="588"/>
      <c r="AO114" s="588"/>
      <c r="AP114" s="588"/>
      <c r="AQ114" s="588"/>
      <c r="AR114" s="588"/>
      <c r="AS114" s="588"/>
      <c r="AT114" s="357"/>
      <c r="AU114" s="357"/>
      <c r="AV114" s="789"/>
    </row>
    <row r="115" spans="1:48" s="1" customFormat="1" ht="42" customHeight="1">
      <c r="A115" s="896"/>
      <c r="B115" s="754"/>
      <c r="C115" s="754"/>
      <c r="D115" s="754"/>
      <c r="E115" s="754"/>
      <c r="F115" s="754"/>
      <c r="G115" s="754"/>
      <c r="H115" s="754"/>
      <c r="I115" s="754"/>
      <c r="J115" s="883"/>
      <c r="K115" s="754"/>
      <c r="L115" s="756"/>
      <c r="M115" s="756"/>
      <c r="N115" s="756"/>
      <c r="O115" s="756"/>
      <c r="P115" s="215" t="s">
        <v>342</v>
      </c>
      <c r="Q115" s="215" t="s">
        <v>72</v>
      </c>
      <c r="R115" s="215">
        <v>2</v>
      </c>
      <c r="S115" s="215">
        <v>0</v>
      </c>
      <c r="T115" s="215">
        <v>1</v>
      </c>
      <c r="U115" s="215">
        <v>0</v>
      </c>
      <c r="V115" s="213">
        <v>1</v>
      </c>
      <c r="W115" s="770"/>
      <c r="X115" s="770"/>
      <c r="Y115" s="785"/>
      <c r="Z115" s="785"/>
      <c r="AA115" s="547">
        <v>0</v>
      </c>
      <c r="AB115" s="587"/>
      <c r="AC115" s="587"/>
      <c r="AD115" s="587"/>
      <c r="AE115" s="590"/>
      <c r="AF115" s="588"/>
      <c r="AG115" s="588"/>
      <c r="AH115" s="588"/>
      <c r="AI115" s="588"/>
      <c r="AJ115" s="588"/>
      <c r="AK115" s="588"/>
      <c r="AL115" s="588"/>
      <c r="AM115" s="588"/>
      <c r="AN115" s="588"/>
      <c r="AO115" s="588"/>
      <c r="AP115" s="588"/>
      <c r="AQ115" s="588"/>
      <c r="AR115" s="588"/>
      <c r="AS115" s="588"/>
      <c r="AT115" s="357"/>
      <c r="AU115" s="357"/>
      <c r="AV115" s="789"/>
    </row>
    <row r="116" spans="1:48" s="1" customFormat="1" ht="42" customHeight="1">
      <c r="A116" s="896"/>
      <c r="B116" s="754"/>
      <c r="C116" s="754"/>
      <c r="D116" s="754"/>
      <c r="E116" s="754"/>
      <c r="F116" s="754"/>
      <c r="G116" s="754"/>
      <c r="H116" s="754"/>
      <c r="I116" s="754"/>
      <c r="J116" s="883"/>
      <c r="K116" s="754"/>
      <c r="L116" s="756"/>
      <c r="M116" s="756"/>
      <c r="N116" s="756"/>
      <c r="O116" s="756"/>
      <c r="P116" s="215" t="s">
        <v>343</v>
      </c>
      <c r="Q116" s="215" t="s">
        <v>72</v>
      </c>
      <c r="R116" s="215">
        <v>2</v>
      </c>
      <c r="S116" s="215">
        <v>0</v>
      </c>
      <c r="T116" s="215">
        <v>1</v>
      </c>
      <c r="U116" s="215">
        <v>0</v>
      </c>
      <c r="V116" s="213">
        <v>1</v>
      </c>
      <c r="W116" s="770"/>
      <c r="X116" s="770"/>
      <c r="Y116" s="785"/>
      <c r="Z116" s="785"/>
      <c r="AA116" s="547">
        <v>0</v>
      </c>
      <c r="AB116" s="587"/>
      <c r="AC116" s="587"/>
      <c r="AD116" s="587"/>
      <c r="AE116" s="590"/>
      <c r="AF116" s="588"/>
      <c r="AG116" s="588"/>
      <c r="AH116" s="588"/>
      <c r="AI116" s="588"/>
      <c r="AJ116" s="588"/>
      <c r="AK116" s="588"/>
      <c r="AL116" s="588"/>
      <c r="AM116" s="588"/>
      <c r="AN116" s="588"/>
      <c r="AO116" s="588"/>
      <c r="AP116" s="588"/>
      <c r="AQ116" s="588"/>
      <c r="AR116" s="588"/>
      <c r="AS116" s="588"/>
      <c r="AT116" s="357"/>
      <c r="AU116" s="357"/>
      <c r="AV116" s="789"/>
    </row>
    <row r="117" spans="1:48" s="1" customFormat="1" ht="58.5" customHeight="1">
      <c r="A117" s="896"/>
      <c r="B117" s="754"/>
      <c r="C117" s="755"/>
      <c r="D117" s="755"/>
      <c r="E117" s="755"/>
      <c r="F117" s="755"/>
      <c r="G117" s="755"/>
      <c r="H117" s="755"/>
      <c r="I117" s="755"/>
      <c r="J117" s="884"/>
      <c r="K117" s="755"/>
      <c r="L117" s="752"/>
      <c r="M117" s="752"/>
      <c r="N117" s="752"/>
      <c r="O117" s="752"/>
      <c r="P117" s="215" t="s">
        <v>344</v>
      </c>
      <c r="Q117" s="215" t="s">
        <v>93</v>
      </c>
      <c r="R117" s="215">
        <v>50</v>
      </c>
      <c r="S117" s="215">
        <v>5</v>
      </c>
      <c r="T117" s="215">
        <v>15</v>
      </c>
      <c r="U117" s="215">
        <v>15</v>
      </c>
      <c r="V117" s="213">
        <v>15</v>
      </c>
      <c r="W117" s="776"/>
      <c r="X117" s="776"/>
      <c r="Y117" s="786"/>
      <c r="Z117" s="786"/>
      <c r="AA117" s="547">
        <v>5</v>
      </c>
      <c r="AB117" s="587"/>
      <c r="AC117" s="587"/>
      <c r="AD117" s="587"/>
      <c r="AE117" s="590"/>
      <c r="AF117" s="588"/>
      <c r="AG117" s="588"/>
      <c r="AH117" s="588"/>
      <c r="AI117" s="588"/>
      <c r="AJ117" s="588"/>
      <c r="AK117" s="588"/>
      <c r="AL117" s="588"/>
      <c r="AM117" s="588"/>
      <c r="AN117" s="588"/>
      <c r="AO117" s="588"/>
      <c r="AP117" s="588"/>
      <c r="AQ117" s="588"/>
      <c r="AR117" s="588"/>
      <c r="AS117" s="588"/>
      <c r="AT117" s="357" t="s">
        <v>204</v>
      </c>
      <c r="AU117" s="357" t="s">
        <v>204</v>
      </c>
      <c r="AV117" s="790"/>
    </row>
    <row r="118" spans="1:48" s="1" customFormat="1" ht="80.25" customHeight="1">
      <c r="A118" s="896"/>
      <c r="B118" s="754"/>
      <c r="C118" s="753" t="s">
        <v>345</v>
      </c>
      <c r="D118" s="753" t="s">
        <v>346</v>
      </c>
      <c r="E118" s="753" t="s">
        <v>347</v>
      </c>
      <c r="F118" s="753" t="s">
        <v>93</v>
      </c>
      <c r="G118" s="753">
        <v>90</v>
      </c>
      <c r="H118" s="753">
        <v>90</v>
      </c>
      <c r="I118" s="753" t="s">
        <v>348</v>
      </c>
      <c r="J118" s="71" t="s">
        <v>349</v>
      </c>
      <c r="K118" s="71" t="s">
        <v>72</v>
      </c>
      <c r="L118" s="72" t="s">
        <v>69</v>
      </c>
      <c r="M118" s="72">
        <v>0</v>
      </c>
      <c r="N118" s="751"/>
      <c r="O118" s="751" t="s">
        <v>350</v>
      </c>
      <c r="P118" s="215" t="s">
        <v>351</v>
      </c>
      <c r="Q118" s="215" t="s">
        <v>352</v>
      </c>
      <c r="R118" s="215">
        <v>1</v>
      </c>
      <c r="S118" s="215">
        <v>0</v>
      </c>
      <c r="T118" s="215">
        <v>0</v>
      </c>
      <c r="U118" s="215">
        <v>0</v>
      </c>
      <c r="V118" s="213">
        <v>1</v>
      </c>
      <c r="W118" s="775" t="s">
        <v>95</v>
      </c>
      <c r="X118" s="775" t="s">
        <v>76</v>
      </c>
      <c r="Y118" s="784">
        <v>1934519057.5752001</v>
      </c>
      <c r="Z118" s="784">
        <f>+Y118</f>
        <v>1934519057.5752001</v>
      </c>
      <c r="AA118" s="547">
        <v>0</v>
      </c>
      <c r="AB118" s="587"/>
      <c r="AC118" s="587"/>
      <c r="AD118" s="587"/>
      <c r="AE118" s="590"/>
      <c r="AF118" s="588"/>
      <c r="AG118" s="588"/>
      <c r="AH118" s="588"/>
      <c r="AI118" s="588"/>
      <c r="AJ118" s="588"/>
      <c r="AK118" s="588"/>
      <c r="AL118" s="588"/>
      <c r="AM118" s="588"/>
      <c r="AN118" s="588"/>
      <c r="AO118" s="588"/>
      <c r="AP118" s="588"/>
      <c r="AQ118" s="588"/>
      <c r="AR118" s="588"/>
      <c r="AS118" s="588"/>
      <c r="AT118" s="357" t="s">
        <v>204</v>
      </c>
      <c r="AU118" s="357" t="s">
        <v>204</v>
      </c>
      <c r="AV118" s="788" t="s">
        <v>353</v>
      </c>
    </row>
    <row r="119" spans="1:48" s="1" customFormat="1" ht="80.25" customHeight="1">
      <c r="A119" s="896"/>
      <c r="B119" s="754"/>
      <c r="C119" s="754"/>
      <c r="D119" s="754"/>
      <c r="E119" s="755"/>
      <c r="F119" s="755"/>
      <c r="G119" s="755"/>
      <c r="H119" s="755"/>
      <c r="I119" s="754"/>
      <c r="J119" s="71" t="s">
        <v>354</v>
      </c>
      <c r="K119" s="71" t="s">
        <v>93</v>
      </c>
      <c r="L119" s="72">
        <v>5</v>
      </c>
      <c r="M119" s="72">
        <v>40</v>
      </c>
      <c r="N119" s="752"/>
      <c r="O119" s="752"/>
      <c r="P119" s="215" t="s">
        <v>355</v>
      </c>
      <c r="Q119" s="215" t="s">
        <v>86</v>
      </c>
      <c r="R119" s="215">
        <v>30</v>
      </c>
      <c r="S119" s="215">
        <v>8</v>
      </c>
      <c r="T119" s="215">
        <v>8</v>
      </c>
      <c r="U119" s="215">
        <v>8</v>
      </c>
      <c r="V119" s="213">
        <v>6</v>
      </c>
      <c r="W119" s="770"/>
      <c r="X119" s="770"/>
      <c r="Y119" s="785"/>
      <c r="Z119" s="785"/>
      <c r="AA119" s="547">
        <v>8</v>
      </c>
      <c r="AB119" s="587"/>
      <c r="AC119" s="587"/>
      <c r="AD119" s="587"/>
      <c r="AE119" s="590"/>
      <c r="AF119" s="588"/>
      <c r="AG119" s="588"/>
      <c r="AH119" s="588"/>
      <c r="AI119" s="588"/>
      <c r="AJ119" s="588"/>
      <c r="AK119" s="588"/>
      <c r="AL119" s="588"/>
      <c r="AM119" s="588"/>
      <c r="AN119" s="588"/>
      <c r="AO119" s="588"/>
      <c r="AP119" s="588"/>
      <c r="AQ119" s="588"/>
      <c r="AR119" s="588"/>
      <c r="AS119" s="588"/>
      <c r="AT119" s="357" t="s">
        <v>204</v>
      </c>
      <c r="AU119" s="357" t="s">
        <v>204</v>
      </c>
      <c r="AV119" s="789"/>
    </row>
    <row r="120" spans="1:48" s="1" customFormat="1" ht="63" customHeight="1">
      <c r="A120" s="896"/>
      <c r="B120" s="754"/>
      <c r="C120" s="754"/>
      <c r="D120" s="754"/>
      <c r="E120" s="753" t="s">
        <v>356</v>
      </c>
      <c r="F120" s="753" t="s">
        <v>93</v>
      </c>
      <c r="G120" s="753" t="s">
        <v>69</v>
      </c>
      <c r="H120" s="753">
        <v>3</v>
      </c>
      <c r="I120" s="754"/>
      <c r="J120" s="71" t="s">
        <v>357</v>
      </c>
      <c r="K120" s="71" t="s">
        <v>93</v>
      </c>
      <c r="L120" s="72">
        <v>95</v>
      </c>
      <c r="M120" s="72">
        <v>95</v>
      </c>
      <c r="N120" s="751"/>
      <c r="O120" s="753" t="s">
        <v>358</v>
      </c>
      <c r="P120" s="215" t="s">
        <v>359</v>
      </c>
      <c r="Q120" s="215" t="s">
        <v>93</v>
      </c>
      <c r="R120" s="215">
        <v>90</v>
      </c>
      <c r="S120" s="215">
        <v>90</v>
      </c>
      <c r="T120" s="215">
        <v>90</v>
      </c>
      <c r="U120" s="215">
        <v>90</v>
      </c>
      <c r="V120" s="213">
        <v>90</v>
      </c>
      <c r="W120" s="770"/>
      <c r="X120" s="770"/>
      <c r="Y120" s="785"/>
      <c r="Z120" s="785"/>
      <c r="AA120" s="547">
        <v>90</v>
      </c>
      <c r="AB120" s="587"/>
      <c r="AC120" s="587"/>
      <c r="AD120" s="587"/>
      <c r="AE120" s="590"/>
      <c r="AF120" s="588"/>
      <c r="AG120" s="588"/>
      <c r="AH120" s="588"/>
      <c r="AI120" s="588"/>
      <c r="AJ120" s="588"/>
      <c r="AK120" s="588"/>
      <c r="AL120" s="588"/>
      <c r="AM120" s="588"/>
      <c r="AN120" s="588"/>
      <c r="AO120" s="588"/>
      <c r="AP120" s="588"/>
      <c r="AQ120" s="588"/>
      <c r="AR120" s="588"/>
      <c r="AS120" s="588"/>
      <c r="AT120" s="357" t="s">
        <v>204</v>
      </c>
      <c r="AU120" s="357" t="s">
        <v>204</v>
      </c>
      <c r="AV120" s="789"/>
    </row>
    <row r="121" spans="1:48" s="1" customFormat="1" ht="115.5" customHeight="1">
      <c r="A121" s="896"/>
      <c r="B121" s="754"/>
      <c r="C121" s="754"/>
      <c r="D121" s="754"/>
      <c r="E121" s="754"/>
      <c r="F121" s="754"/>
      <c r="G121" s="754"/>
      <c r="H121" s="754"/>
      <c r="I121" s="754"/>
      <c r="J121" s="71" t="s">
        <v>360</v>
      </c>
      <c r="K121" s="71" t="s">
        <v>135</v>
      </c>
      <c r="L121" s="72">
        <v>15</v>
      </c>
      <c r="M121" s="72">
        <v>8</v>
      </c>
      <c r="N121" s="752"/>
      <c r="O121" s="755"/>
      <c r="P121" s="215" t="s">
        <v>361</v>
      </c>
      <c r="Q121" s="215" t="s">
        <v>72</v>
      </c>
      <c r="R121" s="215">
        <v>60</v>
      </c>
      <c r="S121" s="215">
        <v>15</v>
      </c>
      <c r="T121" s="215">
        <v>15</v>
      </c>
      <c r="U121" s="215">
        <v>15</v>
      </c>
      <c r="V121" s="213">
        <v>15</v>
      </c>
      <c r="W121" s="770"/>
      <c r="X121" s="770"/>
      <c r="Y121" s="785"/>
      <c r="Z121" s="785"/>
      <c r="AA121" s="547">
        <v>15</v>
      </c>
      <c r="AB121" s="587"/>
      <c r="AC121" s="587"/>
      <c r="AD121" s="587"/>
      <c r="AE121" s="590"/>
      <c r="AF121" s="588"/>
      <c r="AG121" s="588"/>
      <c r="AH121" s="588"/>
      <c r="AI121" s="588"/>
      <c r="AJ121" s="588"/>
      <c r="AK121" s="588"/>
      <c r="AL121" s="588"/>
      <c r="AM121" s="588"/>
      <c r="AN121" s="588"/>
      <c r="AO121" s="588"/>
      <c r="AP121" s="588"/>
      <c r="AQ121" s="588"/>
      <c r="AR121" s="588"/>
      <c r="AS121" s="588"/>
      <c r="AT121" s="357" t="s">
        <v>204</v>
      </c>
      <c r="AU121" s="357" t="s">
        <v>204</v>
      </c>
      <c r="AV121" s="789"/>
    </row>
    <row r="122" spans="1:48" s="1" customFormat="1" ht="66" customHeight="1">
      <c r="A122" s="896"/>
      <c r="B122" s="754"/>
      <c r="C122" s="755"/>
      <c r="D122" s="755"/>
      <c r="E122" s="755"/>
      <c r="F122" s="755"/>
      <c r="G122" s="755"/>
      <c r="H122" s="755"/>
      <c r="I122" s="755"/>
      <c r="J122" s="71" t="s">
        <v>362</v>
      </c>
      <c r="K122" s="71" t="s">
        <v>93</v>
      </c>
      <c r="L122" s="72">
        <v>95</v>
      </c>
      <c r="M122" s="72">
        <v>95</v>
      </c>
      <c r="N122" s="72"/>
      <c r="O122" s="76" t="s">
        <v>363</v>
      </c>
      <c r="P122" s="215" t="s">
        <v>364</v>
      </c>
      <c r="Q122" s="215" t="s">
        <v>93</v>
      </c>
      <c r="R122" s="215">
        <v>90</v>
      </c>
      <c r="S122" s="215">
        <v>90</v>
      </c>
      <c r="T122" s="215">
        <v>90</v>
      </c>
      <c r="U122" s="215">
        <v>90</v>
      </c>
      <c r="V122" s="213">
        <v>90</v>
      </c>
      <c r="W122" s="776"/>
      <c r="X122" s="776"/>
      <c r="Y122" s="786"/>
      <c r="Z122" s="786"/>
      <c r="AA122" s="547">
        <v>90</v>
      </c>
      <c r="AB122" s="587"/>
      <c r="AC122" s="587"/>
      <c r="AD122" s="587"/>
      <c r="AE122" s="590"/>
      <c r="AF122" s="588"/>
      <c r="AG122" s="588"/>
      <c r="AH122" s="588"/>
      <c r="AI122" s="588"/>
      <c r="AJ122" s="588"/>
      <c r="AK122" s="588"/>
      <c r="AL122" s="588"/>
      <c r="AM122" s="588"/>
      <c r="AN122" s="588"/>
      <c r="AO122" s="588"/>
      <c r="AP122" s="588"/>
      <c r="AQ122" s="588"/>
      <c r="AR122" s="588"/>
      <c r="AS122" s="588"/>
      <c r="AT122" s="357" t="s">
        <v>204</v>
      </c>
      <c r="AU122" s="357" t="s">
        <v>204</v>
      </c>
      <c r="AV122" s="790"/>
    </row>
    <row r="123" spans="1:48" s="1" customFormat="1" ht="96.75" customHeight="1">
      <c r="A123" s="896"/>
      <c r="B123" s="754"/>
      <c r="C123" s="753" t="s">
        <v>365</v>
      </c>
      <c r="D123" s="753" t="s">
        <v>366</v>
      </c>
      <c r="E123" s="753" t="s">
        <v>367</v>
      </c>
      <c r="F123" s="753" t="s">
        <v>93</v>
      </c>
      <c r="G123" s="753" t="s">
        <v>69</v>
      </c>
      <c r="H123" s="753">
        <v>90</v>
      </c>
      <c r="I123" s="753" t="s">
        <v>368</v>
      </c>
      <c r="J123" s="71" t="s">
        <v>369</v>
      </c>
      <c r="K123" s="71" t="s">
        <v>72</v>
      </c>
      <c r="L123" s="72" t="s">
        <v>69</v>
      </c>
      <c r="M123" s="72">
        <v>1</v>
      </c>
      <c r="N123" s="751"/>
      <c r="O123" s="753" t="s">
        <v>370</v>
      </c>
      <c r="P123" s="739" t="s">
        <v>371</v>
      </c>
      <c r="Q123" s="739" t="s">
        <v>86</v>
      </c>
      <c r="R123" s="739">
        <v>4</v>
      </c>
      <c r="S123" s="739">
        <v>1</v>
      </c>
      <c r="T123" s="739">
        <v>1</v>
      </c>
      <c r="U123" s="739">
        <v>1</v>
      </c>
      <c r="V123" s="739">
        <v>1</v>
      </c>
      <c r="W123" s="777" t="s">
        <v>372</v>
      </c>
      <c r="X123" s="775" t="s">
        <v>76</v>
      </c>
      <c r="Y123" s="784">
        <v>2217169405</v>
      </c>
      <c r="Z123" s="784">
        <f>+Y123</f>
        <v>2217169405</v>
      </c>
      <c r="AA123" s="594">
        <v>0</v>
      </c>
      <c r="AB123" s="587"/>
      <c r="AC123" s="587"/>
      <c r="AD123" s="587"/>
      <c r="AE123" s="590"/>
      <c r="AF123" s="588"/>
      <c r="AG123" s="588"/>
      <c r="AH123" s="588"/>
      <c r="AI123" s="588"/>
      <c r="AJ123" s="588"/>
      <c r="AK123" s="588"/>
      <c r="AL123" s="588"/>
      <c r="AM123" s="588"/>
      <c r="AN123" s="588"/>
      <c r="AO123" s="588"/>
      <c r="AP123" s="588"/>
      <c r="AQ123" s="588"/>
      <c r="AR123" s="588"/>
      <c r="AS123" s="588"/>
      <c r="AT123" s="357" t="s">
        <v>204</v>
      </c>
      <c r="AU123" s="357" t="s">
        <v>204</v>
      </c>
      <c r="AV123" s="788" t="s">
        <v>373</v>
      </c>
    </row>
    <row r="124" spans="1:48" s="1" customFormat="1" ht="101.25" customHeight="1">
      <c r="A124" s="896"/>
      <c r="B124" s="754"/>
      <c r="C124" s="754"/>
      <c r="D124" s="754"/>
      <c r="E124" s="755"/>
      <c r="F124" s="755"/>
      <c r="G124" s="755"/>
      <c r="H124" s="755"/>
      <c r="I124" s="754"/>
      <c r="J124" s="71" t="s">
        <v>374</v>
      </c>
      <c r="K124" s="71" t="s">
        <v>93</v>
      </c>
      <c r="L124" s="72">
        <v>45</v>
      </c>
      <c r="M124" s="72">
        <v>0</v>
      </c>
      <c r="N124" s="756"/>
      <c r="O124" s="754"/>
      <c r="P124" s="215" t="s">
        <v>375</v>
      </c>
      <c r="Q124" s="215" t="s">
        <v>86</v>
      </c>
      <c r="R124" s="213">
        <v>500</v>
      </c>
      <c r="S124" s="213">
        <v>125</v>
      </c>
      <c r="T124" s="213">
        <v>125</v>
      </c>
      <c r="U124" s="213">
        <v>125</v>
      </c>
      <c r="V124" s="213">
        <v>125</v>
      </c>
      <c r="W124" s="778"/>
      <c r="X124" s="770"/>
      <c r="Y124" s="785"/>
      <c r="Z124" s="785"/>
      <c r="AA124" s="594">
        <v>125</v>
      </c>
      <c r="AB124" s="587"/>
      <c r="AC124" s="587"/>
      <c r="AD124" s="587"/>
      <c r="AE124" s="590"/>
      <c r="AF124" s="588"/>
      <c r="AG124" s="588"/>
      <c r="AH124" s="588"/>
      <c r="AI124" s="588"/>
      <c r="AJ124" s="588"/>
      <c r="AK124" s="588"/>
      <c r="AL124" s="588"/>
      <c r="AM124" s="588"/>
      <c r="AN124" s="588"/>
      <c r="AO124" s="588"/>
      <c r="AP124" s="588"/>
      <c r="AQ124" s="588"/>
      <c r="AR124" s="588"/>
      <c r="AS124" s="588"/>
      <c r="AT124" s="357" t="s">
        <v>204</v>
      </c>
      <c r="AU124" s="357" t="s">
        <v>204</v>
      </c>
      <c r="AV124" s="789"/>
    </row>
    <row r="125" spans="1:48" s="1" customFormat="1" ht="56.25" customHeight="1" thickBot="1">
      <c r="A125" s="897"/>
      <c r="B125" s="806"/>
      <c r="C125" s="806"/>
      <c r="D125" s="806"/>
      <c r="E125" s="79" t="s">
        <v>376</v>
      </c>
      <c r="F125" s="79" t="s">
        <v>93</v>
      </c>
      <c r="G125" s="80" t="s">
        <v>69</v>
      </c>
      <c r="H125" s="79">
        <v>75</v>
      </c>
      <c r="I125" s="806"/>
      <c r="J125" s="80" t="s">
        <v>377</v>
      </c>
      <c r="K125" s="80" t="s">
        <v>93</v>
      </c>
      <c r="L125" s="90">
        <v>50</v>
      </c>
      <c r="M125" s="90">
        <v>0</v>
      </c>
      <c r="N125" s="756"/>
      <c r="O125" s="806"/>
      <c r="P125" s="215" t="s">
        <v>378</v>
      </c>
      <c r="Q125" s="215" t="s">
        <v>86</v>
      </c>
      <c r="R125" s="213">
        <v>100</v>
      </c>
      <c r="S125" s="213">
        <v>25</v>
      </c>
      <c r="T125" s="213">
        <v>25</v>
      </c>
      <c r="U125" s="213">
        <v>25</v>
      </c>
      <c r="V125" s="213">
        <v>25</v>
      </c>
      <c r="W125" s="778"/>
      <c r="X125" s="770"/>
      <c r="Y125" s="787"/>
      <c r="Z125" s="785"/>
      <c r="AA125" s="594">
        <v>25</v>
      </c>
      <c r="AB125" s="587"/>
      <c r="AC125" s="587"/>
      <c r="AD125" s="587"/>
      <c r="AE125" s="590"/>
      <c r="AF125" s="588"/>
      <c r="AG125" s="588"/>
      <c r="AH125" s="588"/>
      <c r="AI125" s="588"/>
      <c r="AJ125" s="588"/>
      <c r="AK125" s="588"/>
      <c r="AL125" s="588"/>
      <c r="AM125" s="588"/>
      <c r="AN125" s="588"/>
      <c r="AO125" s="588"/>
      <c r="AP125" s="588"/>
      <c r="AQ125" s="588"/>
      <c r="AR125" s="588"/>
      <c r="AS125" s="588"/>
      <c r="AT125" s="357" t="s">
        <v>204</v>
      </c>
      <c r="AU125" s="357" t="s">
        <v>204</v>
      </c>
      <c r="AV125" s="790"/>
    </row>
    <row r="126" spans="1:48" s="1" customFormat="1" ht="98.25" customHeight="1">
      <c r="A126" s="889" t="s">
        <v>379</v>
      </c>
      <c r="B126" s="892" t="s">
        <v>380</v>
      </c>
      <c r="C126" s="798" t="s">
        <v>381</v>
      </c>
      <c r="D126" s="798" t="s">
        <v>382</v>
      </c>
      <c r="E126" s="798" t="s">
        <v>383</v>
      </c>
      <c r="F126" s="798" t="s">
        <v>93</v>
      </c>
      <c r="G126" s="798">
        <v>90</v>
      </c>
      <c r="H126" s="798">
        <v>90</v>
      </c>
      <c r="I126" s="798"/>
      <c r="J126" s="892" t="s">
        <v>384</v>
      </c>
      <c r="K126" s="892" t="s">
        <v>72</v>
      </c>
      <c r="L126" s="833" t="s">
        <v>69</v>
      </c>
      <c r="M126" s="833">
        <v>3</v>
      </c>
      <c r="N126" s="913"/>
      <c r="O126" s="798" t="s">
        <v>385</v>
      </c>
      <c r="P126" s="721" t="s">
        <v>386</v>
      </c>
      <c r="Q126" s="721" t="s">
        <v>72</v>
      </c>
      <c r="R126" s="721">
        <v>4</v>
      </c>
      <c r="S126" s="721">
        <v>1</v>
      </c>
      <c r="T126" s="721">
        <v>1</v>
      </c>
      <c r="U126" s="721">
        <v>1</v>
      </c>
      <c r="V126" s="722">
        <v>1</v>
      </c>
      <c r="W126" s="1269" t="s">
        <v>387</v>
      </c>
      <c r="X126" s="770" t="s">
        <v>76</v>
      </c>
      <c r="Y126" s="800">
        <v>246738977</v>
      </c>
      <c r="Z126" s="785">
        <f>+Y126</f>
        <v>246738977</v>
      </c>
      <c r="AA126" s="594">
        <v>1</v>
      </c>
      <c r="AB126" s="587"/>
      <c r="AC126" s="587"/>
      <c r="AD126" s="587"/>
      <c r="AE126" s="590"/>
      <c r="AF126" s="588"/>
      <c r="AG126" s="588"/>
      <c r="AH126" s="592"/>
      <c r="AI126" s="592"/>
      <c r="AJ126" s="592"/>
      <c r="AK126" s="592"/>
      <c r="AL126" s="592"/>
      <c r="AM126" s="592"/>
      <c r="AN126" s="592"/>
      <c r="AO126" s="592"/>
      <c r="AP126" s="592"/>
      <c r="AQ126" s="592"/>
      <c r="AR126" s="592"/>
      <c r="AS126" s="592"/>
      <c r="AT126" s="582" t="s">
        <v>388</v>
      </c>
      <c r="AU126" s="582" t="s">
        <v>388</v>
      </c>
      <c r="AV126" s="801"/>
    </row>
    <row r="127" spans="1:48" s="1" customFormat="1" ht="104.25" customHeight="1" thickBot="1">
      <c r="A127" s="890"/>
      <c r="B127" s="798"/>
      <c r="C127" s="798"/>
      <c r="D127" s="798"/>
      <c r="E127" s="798"/>
      <c r="F127" s="798"/>
      <c r="G127" s="798"/>
      <c r="H127" s="798"/>
      <c r="I127" s="798"/>
      <c r="J127" s="799"/>
      <c r="K127" s="807"/>
      <c r="L127" s="834"/>
      <c r="M127" s="803"/>
      <c r="N127" s="913"/>
      <c r="O127" s="798"/>
      <c r="P127" s="721" t="s">
        <v>389</v>
      </c>
      <c r="Q127" s="721" t="s">
        <v>72</v>
      </c>
      <c r="R127" s="721">
        <v>8</v>
      </c>
      <c r="S127" s="721">
        <v>2</v>
      </c>
      <c r="T127" s="721">
        <v>2</v>
      </c>
      <c r="U127" s="721">
        <v>2</v>
      </c>
      <c r="V127" s="722">
        <v>2</v>
      </c>
      <c r="W127" s="778"/>
      <c r="X127" s="770"/>
      <c r="Y127" s="785"/>
      <c r="Z127" s="785"/>
      <c r="AA127" s="594">
        <v>2</v>
      </c>
      <c r="AB127" s="587"/>
      <c r="AC127" s="587"/>
      <c r="AD127" s="587"/>
      <c r="AE127" s="590"/>
      <c r="AF127" s="588"/>
      <c r="AG127" s="588"/>
      <c r="AH127" s="592"/>
      <c r="AI127" s="592"/>
      <c r="AJ127" s="592"/>
      <c r="AK127" s="592"/>
      <c r="AL127" s="592"/>
      <c r="AM127" s="592"/>
      <c r="AN127" s="592"/>
      <c r="AO127" s="592"/>
      <c r="AP127" s="592"/>
      <c r="AQ127" s="592"/>
      <c r="AR127" s="592"/>
      <c r="AS127" s="592"/>
      <c r="AT127" s="582" t="s">
        <v>388</v>
      </c>
      <c r="AU127" s="582" t="s">
        <v>388</v>
      </c>
      <c r="AV127" s="801"/>
    </row>
    <row r="128" spans="1:48" s="1" customFormat="1" ht="100.5" customHeight="1">
      <c r="A128" s="890"/>
      <c r="B128" s="798"/>
      <c r="C128" s="798"/>
      <c r="D128" s="798"/>
      <c r="E128" s="798"/>
      <c r="F128" s="798"/>
      <c r="G128" s="798"/>
      <c r="H128" s="798"/>
      <c r="I128" s="798"/>
      <c r="J128" s="797" t="s">
        <v>390</v>
      </c>
      <c r="K128" s="892" t="s">
        <v>72</v>
      </c>
      <c r="L128" s="833" t="s">
        <v>69</v>
      </c>
      <c r="M128" s="802">
        <v>4</v>
      </c>
      <c r="N128" s="913"/>
      <c r="O128" s="798"/>
      <c r="P128" s="721" t="s">
        <v>391</v>
      </c>
      <c r="Q128" s="721" t="s">
        <v>72</v>
      </c>
      <c r="R128" s="721">
        <v>4</v>
      </c>
      <c r="S128" s="721">
        <v>1</v>
      </c>
      <c r="T128" s="721">
        <v>1</v>
      </c>
      <c r="U128" s="721">
        <v>1</v>
      </c>
      <c r="V128" s="722">
        <v>1</v>
      </c>
      <c r="W128" s="778"/>
      <c r="X128" s="770"/>
      <c r="Y128" s="785"/>
      <c r="Z128" s="785"/>
      <c r="AA128" s="594">
        <v>1</v>
      </c>
      <c r="AB128" s="587"/>
      <c r="AC128" s="587"/>
      <c r="AD128" s="587"/>
      <c r="AE128" s="590"/>
      <c r="AF128" s="588"/>
      <c r="AG128" s="588"/>
      <c r="AH128" s="592"/>
      <c r="AI128" s="592"/>
      <c r="AJ128" s="592"/>
      <c r="AK128" s="592"/>
      <c r="AL128" s="592"/>
      <c r="AM128" s="592"/>
      <c r="AN128" s="592"/>
      <c r="AO128" s="592"/>
      <c r="AP128" s="592"/>
      <c r="AQ128" s="592"/>
      <c r="AR128" s="592"/>
      <c r="AS128" s="592"/>
      <c r="AT128" s="582" t="s">
        <v>388</v>
      </c>
      <c r="AU128" s="582" t="s">
        <v>388</v>
      </c>
      <c r="AV128" s="801"/>
    </row>
    <row r="129" spans="1:55" s="1" customFormat="1" ht="100.5" customHeight="1">
      <c r="A129" s="890"/>
      <c r="B129" s="798"/>
      <c r="C129" s="798"/>
      <c r="D129" s="798"/>
      <c r="E129" s="798"/>
      <c r="F129" s="798"/>
      <c r="G129" s="798"/>
      <c r="H129" s="798"/>
      <c r="I129" s="798"/>
      <c r="J129" s="799"/>
      <c r="K129" s="799"/>
      <c r="L129" s="803"/>
      <c r="M129" s="803"/>
      <c r="N129" s="913"/>
      <c r="O129" s="798"/>
      <c r="P129" s="721" t="s">
        <v>392</v>
      </c>
      <c r="Q129" s="721" t="s">
        <v>72</v>
      </c>
      <c r="R129" s="721">
        <v>12</v>
      </c>
      <c r="S129" s="721">
        <v>3</v>
      </c>
      <c r="T129" s="721">
        <v>3</v>
      </c>
      <c r="U129" s="721">
        <v>3</v>
      </c>
      <c r="V129" s="722">
        <v>3</v>
      </c>
      <c r="W129" s="778"/>
      <c r="X129" s="770"/>
      <c r="Y129" s="785"/>
      <c r="Z129" s="785"/>
      <c r="AA129" s="594">
        <v>3</v>
      </c>
      <c r="AB129" s="587"/>
      <c r="AC129" s="587"/>
      <c r="AD129" s="587"/>
      <c r="AE129" s="590"/>
      <c r="AF129" s="588"/>
      <c r="AG129" s="588"/>
      <c r="AH129" s="592"/>
      <c r="AI129" s="592"/>
      <c r="AJ129" s="592"/>
      <c r="AK129" s="592"/>
      <c r="AL129" s="592"/>
      <c r="AM129" s="592"/>
      <c r="AN129" s="592"/>
      <c r="AO129" s="592"/>
      <c r="AP129" s="592"/>
      <c r="AQ129" s="592"/>
      <c r="AR129" s="592"/>
      <c r="AS129" s="592"/>
      <c r="AT129" s="582" t="s">
        <v>388</v>
      </c>
      <c r="AU129" s="582" t="s">
        <v>388</v>
      </c>
      <c r="AV129" s="801"/>
    </row>
    <row r="130" spans="1:55" s="1" customFormat="1" ht="90" customHeight="1">
      <c r="A130" s="890"/>
      <c r="B130" s="798"/>
      <c r="C130" s="798"/>
      <c r="D130" s="798"/>
      <c r="E130" s="799"/>
      <c r="F130" s="799"/>
      <c r="G130" s="799"/>
      <c r="H130" s="799"/>
      <c r="I130" s="798"/>
      <c r="J130" s="84" t="s">
        <v>393</v>
      </c>
      <c r="K130" s="84" t="s">
        <v>93</v>
      </c>
      <c r="L130" s="83" t="s">
        <v>69</v>
      </c>
      <c r="M130" s="83">
        <v>80</v>
      </c>
      <c r="N130" s="803"/>
      <c r="O130" s="799"/>
      <c r="P130" s="721" t="s">
        <v>394</v>
      </c>
      <c r="Q130" s="721" t="s">
        <v>72</v>
      </c>
      <c r="R130" s="721">
        <v>12</v>
      </c>
      <c r="S130" s="721">
        <v>3</v>
      </c>
      <c r="T130" s="721">
        <v>3</v>
      </c>
      <c r="U130" s="721">
        <v>3</v>
      </c>
      <c r="V130" s="722">
        <v>3</v>
      </c>
      <c r="W130" s="778"/>
      <c r="X130" s="770"/>
      <c r="Y130" s="785"/>
      <c r="Z130" s="785"/>
      <c r="AA130" s="594">
        <v>3</v>
      </c>
      <c r="AB130" s="587"/>
      <c r="AC130" s="587"/>
      <c r="AD130" s="587"/>
      <c r="AE130" s="590"/>
      <c r="AF130" s="588"/>
      <c r="AG130" s="588"/>
      <c r="AH130" s="592"/>
      <c r="AI130" s="592"/>
      <c r="AJ130" s="592"/>
      <c r="AK130" s="592"/>
      <c r="AL130" s="592"/>
      <c r="AM130" s="592"/>
      <c r="AN130" s="592"/>
      <c r="AO130" s="592"/>
      <c r="AP130" s="592"/>
      <c r="AQ130" s="592"/>
      <c r="AR130" s="592"/>
      <c r="AS130" s="592"/>
      <c r="AT130" s="582" t="s">
        <v>388</v>
      </c>
      <c r="AU130" s="582" t="s">
        <v>388</v>
      </c>
      <c r="AV130" s="801"/>
    </row>
    <row r="131" spans="1:55" s="1" customFormat="1" ht="87" customHeight="1">
      <c r="A131" s="890"/>
      <c r="B131" s="798"/>
      <c r="C131" s="798"/>
      <c r="D131" s="798"/>
      <c r="E131" s="92" t="s">
        <v>395</v>
      </c>
      <c r="F131" s="92" t="s">
        <v>133</v>
      </c>
      <c r="G131" s="92" t="s">
        <v>69</v>
      </c>
      <c r="H131" s="92">
        <v>1</v>
      </c>
      <c r="I131" s="798"/>
      <c r="J131" s="84" t="s">
        <v>396</v>
      </c>
      <c r="K131" s="84" t="s">
        <v>72</v>
      </c>
      <c r="L131" s="83" t="s">
        <v>69</v>
      </c>
      <c r="M131" s="83">
        <v>1</v>
      </c>
      <c r="N131" s="602"/>
      <c r="O131" s="92" t="s">
        <v>397</v>
      </c>
      <c r="P131" s="721" t="s">
        <v>398</v>
      </c>
      <c r="Q131" s="721" t="s">
        <v>72</v>
      </c>
      <c r="R131" s="721">
        <v>1</v>
      </c>
      <c r="S131" s="721">
        <v>0</v>
      </c>
      <c r="T131" s="721">
        <v>0</v>
      </c>
      <c r="U131" s="721">
        <v>0</v>
      </c>
      <c r="V131" s="722">
        <v>1</v>
      </c>
      <c r="W131" s="778"/>
      <c r="X131" s="770"/>
      <c r="Y131" s="785"/>
      <c r="Z131" s="785"/>
      <c r="AA131" s="594">
        <v>0</v>
      </c>
      <c r="AB131" s="587"/>
      <c r="AC131" s="587"/>
      <c r="AD131" s="587"/>
      <c r="AE131" s="590"/>
      <c r="AF131" s="588"/>
      <c r="AG131" s="588"/>
      <c r="AH131" s="592"/>
      <c r="AI131" s="592"/>
      <c r="AJ131" s="592"/>
      <c r="AK131" s="592"/>
      <c r="AL131" s="592"/>
      <c r="AM131" s="592"/>
      <c r="AN131" s="592"/>
      <c r="AO131" s="592"/>
      <c r="AP131" s="592"/>
      <c r="AQ131" s="592"/>
      <c r="AR131" s="592"/>
      <c r="AS131" s="592"/>
      <c r="AT131" s="582" t="s">
        <v>388</v>
      </c>
      <c r="AU131" s="582" t="s">
        <v>388</v>
      </c>
      <c r="AV131" s="801"/>
    </row>
    <row r="132" spans="1:55" s="1" customFormat="1" ht="96.75" customHeight="1">
      <c r="A132" s="890"/>
      <c r="B132" s="798"/>
      <c r="C132" s="797" t="s">
        <v>399</v>
      </c>
      <c r="D132" s="797" t="s">
        <v>400</v>
      </c>
      <c r="E132" s="797" t="s">
        <v>401</v>
      </c>
      <c r="F132" s="797" t="s">
        <v>93</v>
      </c>
      <c r="G132" s="797">
        <v>95</v>
      </c>
      <c r="H132" s="812">
        <v>95</v>
      </c>
      <c r="I132" s="812" t="s">
        <v>402</v>
      </c>
      <c r="J132" s="812" t="s">
        <v>403</v>
      </c>
      <c r="K132" s="812" t="s">
        <v>93</v>
      </c>
      <c r="L132" s="914">
        <v>92</v>
      </c>
      <c r="M132" s="914">
        <v>100</v>
      </c>
      <c r="N132" s="85"/>
      <c r="O132" s="83" t="s">
        <v>404</v>
      </c>
      <c r="P132" s="721" t="s">
        <v>405</v>
      </c>
      <c r="Q132" s="721" t="s">
        <v>72</v>
      </c>
      <c r="R132" s="721">
        <v>12</v>
      </c>
      <c r="S132" s="721">
        <v>3</v>
      </c>
      <c r="T132" s="721">
        <v>3</v>
      </c>
      <c r="U132" s="721">
        <v>3</v>
      </c>
      <c r="V132" s="722">
        <v>3</v>
      </c>
      <c r="W132" s="778"/>
      <c r="X132" s="770" t="s">
        <v>76</v>
      </c>
      <c r="Y132" s="785">
        <v>172167854.16</v>
      </c>
      <c r="Z132" s="785">
        <f>Y132</f>
        <v>172167854.16</v>
      </c>
      <c r="AA132" s="547">
        <v>3</v>
      </c>
      <c r="AB132" s="587"/>
      <c r="AC132" s="587"/>
      <c r="AD132" s="547"/>
      <c r="AE132" s="590"/>
      <c r="AF132" s="588"/>
      <c r="AG132" s="588"/>
      <c r="AH132" s="588"/>
      <c r="AI132" s="588"/>
      <c r="AJ132" s="588"/>
      <c r="AK132" s="588"/>
      <c r="AL132" s="588"/>
      <c r="AM132" s="588"/>
      <c r="AN132" s="588"/>
      <c r="AO132" s="588"/>
      <c r="AP132" s="588"/>
      <c r="AQ132" s="588"/>
      <c r="AR132" s="588"/>
      <c r="AS132" s="588"/>
      <c r="AT132" s="357" t="s">
        <v>406</v>
      </c>
      <c r="AU132" s="357" t="s">
        <v>406</v>
      </c>
      <c r="AV132" s="788" t="s">
        <v>407</v>
      </c>
    </row>
    <row r="133" spans="1:55" s="1" customFormat="1" ht="96.75" customHeight="1">
      <c r="A133" s="890"/>
      <c r="B133" s="798"/>
      <c r="C133" s="798"/>
      <c r="D133" s="798"/>
      <c r="E133" s="798"/>
      <c r="F133" s="799"/>
      <c r="G133" s="799"/>
      <c r="H133" s="812"/>
      <c r="I133" s="812"/>
      <c r="J133" s="812"/>
      <c r="K133" s="812"/>
      <c r="L133" s="914"/>
      <c r="M133" s="914"/>
      <c r="N133" s="85"/>
      <c r="O133" s="797" t="s">
        <v>408</v>
      </c>
      <c r="P133" s="721" t="s">
        <v>409</v>
      </c>
      <c r="Q133" s="721" t="s">
        <v>72</v>
      </c>
      <c r="R133" s="721">
        <v>9</v>
      </c>
      <c r="S133" s="721">
        <v>2</v>
      </c>
      <c r="T133" s="721">
        <v>3</v>
      </c>
      <c r="U133" s="721">
        <v>3</v>
      </c>
      <c r="V133" s="722">
        <v>1</v>
      </c>
      <c r="W133" s="778"/>
      <c r="X133" s="770"/>
      <c r="Y133" s="785"/>
      <c r="Z133" s="785"/>
      <c r="AA133" s="547">
        <v>3</v>
      </c>
      <c r="AB133" s="587"/>
      <c r="AC133" s="587"/>
      <c r="AD133" s="547"/>
      <c r="AE133" s="590"/>
      <c r="AF133" s="588"/>
      <c r="AG133" s="588"/>
      <c r="AH133" s="588"/>
      <c r="AI133" s="588"/>
      <c r="AJ133" s="588"/>
      <c r="AK133" s="588"/>
      <c r="AL133" s="588"/>
      <c r="AM133" s="588"/>
      <c r="AN133" s="588"/>
      <c r="AO133" s="588"/>
      <c r="AP133" s="588"/>
      <c r="AQ133" s="588"/>
      <c r="AR133" s="588"/>
      <c r="AS133" s="588"/>
      <c r="AT133" s="357" t="s">
        <v>406</v>
      </c>
      <c r="AU133" s="357" t="s">
        <v>406</v>
      </c>
      <c r="AV133" s="789"/>
    </row>
    <row r="134" spans="1:55" s="1" customFormat="1" ht="96.75" customHeight="1">
      <c r="A134" s="890"/>
      <c r="B134" s="798"/>
      <c r="C134" s="798"/>
      <c r="D134" s="798"/>
      <c r="E134" s="799"/>
      <c r="F134" s="341"/>
      <c r="G134" s="341"/>
      <c r="H134" s="812"/>
      <c r="I134" s="812"/>
      <c r="J134" s="812"/>
      <c r="K134" s="812"/>
      <c r="L134" s="914"/>
      <c r="M134" s="914"/>
      <c r="N134" s="85"/>
      <c r="O134" s="798"/>
      <c r="P134" s="721" t="s">
        <v>410</v>
      </c>
      <c r="Q134" s="721" t="s">
        <v>72</v>
      </c>
      <c r="R134" s="721">
        <v>6</v>
      </c>
      <c r="S134" s="721">
        <v>2</v>
      </c>
      <c r="T134" s="721">
        <v>2</v>
      </c>
      <c r="U134" s="721">
        <v>1</v>
      </c>
      <c r="V134" s="722">
        <v>1</v>
      </c>
      <c r="W134" s="778"/>
      <c r="X134" s="770"/>
      <c r="Y134" s="785"/>
      <c r="Z134" s="785"/>
      <c r="AA134" s="547">
        <v>4</v>
      </c>
      <c r="AB134" s="587"/>
      <c r="AC134" s="587"/>
      <c r="AD134" s="547"/>
      <c r="AE134" s="590"/>
      <c r="AF134" s="588"/>
      <c r="AG134" s="588"/>
      <c r="AH134" s="588"/>
      <c r="AI134" s="588"/>
      <c r="AJ134" s="588"/>
      <c r="AK134" s="588"/>
      <c r="AL134" s="588"/>
      <c r="AM134" s="588"/>
      <c r="AN134" s="588"/>
      <c r="AO134" s="588"/>
      <c r="AP134" s="588"/>
      <c r="AQ134" s="588"/>
      <c r="AR134" s="588"/>
      <c r="AS134" s="588"/>
      <c r="AT134" s="357"/>
      <c r="AU134" s="357"/>
      <c r="AV134" s="789"/>
    </row>
    <row r="135" spans="1:55" s="1" customFormat="1" ht="100.5" customHeight="1">
      <c r="A135" s="890"/>
      <c r="B135" s="798"/>
      <c r="C135" s="798"/>
      <c r="D135" s="798"/>
      <c r="E135" s="797" t="s">
        <v>411</v>
      </c>
      <c r="F135" s="797" t="s">
        <v>93</v>
      </c>
      <c r="G135" s="797">
        <v>100</v>
      </c>
      <c r="H135" s="798">
        <v>100</v>
      </c>
      <c r="I135" s="583"/>
      <c r="J135" s="583"/>
      <c r="K135" s="583"/>
      <c r="L135" s="584"/>
      <c r="M135" s="584"/>
      <c r="N135" s="85"/>
      <c r="O135" s="799"/>
      <c r="P135" s="721" t="s">
        <v>412</v>
      </c>
      <c r="Q135" s="721" t="s">
        <v>72</v>
      </c>
      <c r="R135" s="721">
        <v>4</v>
      </c>
      <c r="S135" s="721">
        <v>1</v>
      </c>
      <c r="T135" s="721">
        <v>1</v>
      </c>
      <c r="U135" s="721">
        <v>1</v>
      </c>
      <c r="V135" s="722">
        <v>1</v>
      </c>
      <c r="W135" s="778"/>
      <c r="X135" s="770"/>
      <c r="Y135" s="785"/>
      <c r="Z135" s="785"/>
      <c r="AA135" s="547">
        <v>3</v>
      </c>
      <c r="AB135" s="587"/>
      <c r="AC135" s="587"/>
      <c r="AD135" s="547"/>
      <c r="AE135" s="590"/>
      <c r="AF135" s="588"/>
      <c r="AG135" s="588"/>
      <c r="AH135" s="588"/>
      <c r="AI135" s="588"/>
      <c r="AJ135" s="588"/>
      <c r="AK135" s="588"/>
      <c r="AL135" s="588"/>
      <c r="AM135" s="588"/>
      <c r="AN135" s="588"/>
      <c r="AO135" s="588"/>
      <c r="AP135" s="588"/>
      <c r="AQ135" s="588"/>
      <c r="AR135" s="588"/>
      <c r="AS135" s="588"/>
      <c r="AT135" s="357" t="s">
        <v>406</v>
      </c>
      <c r="AU135" s="357" t="s">
        <v>406</v>
      </c>
      <c r="AV135" s="789"/>
    </row>
    <row r="136" spans="1:55" s="1" customFormat="1" ht="106.5" customHeight="1">
      <c r="A136" s="890"/>
      <c r="B136" s="798"/>
      <c r="C136" s="798"/>
      <c r="D136" s="798"/>
      <c r="E136" s="798"/>
      <c r="F136" s="798"/>
      <c r="G136" s="798"/>
      <c r="H136" s="798"/>
      <c r="I136" s="797" t="s">
        <v>413</v>
      </c>
      <c r="J136" s="797" t="s">
        <v>414</v>
      </c>
      <c r="K136" s="797" t="s">
        <v>93</v>
      </c>
      <c r="L136" s="802">
        <v>100</v>
      </c>
      <c r="M136" s="802">
        <v>100</v>
      </c>
      <c r="N136" s="85"/>
      <c r="O136" s="802" t="s">
        <v>415</v>
      </c>
      <c r="P136" s="721" t="s">
        <v>416</v>
      </c>
      <c r="Q136" s="721" t="s">
        <v>72</v>
      </c>
      <c r="R136" s="721">
        <v>4</v>
      </c>
      <c r="S136" s="721">
        <v>1</v>
      </c>
      <c r="T136" s="721">
        <v>1</v>
      </c>
      <c r="U136" s="721">
        <v>1</v>
      </c>
      <c r="V136" s="722">
        <v>1</v>
      </c>
      <c r="W136" s="778"/>
      <c r="X136" s="770"/>
      <c r="Y136" s="785"/>
      <c r="Z136" s="785"/>
      <c r="AA136" s="547">
        <v>1</v>
      </c>
      <c r="AB136" s="587"/>
      <c r="AC136" s="587"/>
      <c r="AD136" s="547"/>
      <c r="AE136" s="590"/>
      <c r="AF136" s="588"/>
      <c r="AG136" s="588"/>
      <c r="AH136" s="588"/>
      <c r="AI136" s="588"/>
      <c r="AJ136" s="588"/>
      <c r="AK136" s="588"/>
      <c r="AL136" s="588"/>
      <c r="AM136" s="588"/>
      <c r="AN136" s="588"/>
      <c r="AO136" s="588"/>
      <c r="AP136" s="588"/>
      <c r="AQ136" s="588"/>
      <c r="AR136" s="588"/>
      <c r="AS136" s="588"/>
      <c r="AT136" s="357" t="s">
        <v>406</v>
      </c>
      <c r="AU136" s="357" t="s">
        <v>406</v>
      </c>
      <c r="AV136" s="789"/>
    </row>
    <row r="137" spans="1:55" s="1" customFormat="1" ht="75.75" customHeight="1">
      <c r="A137" s="890"/>
      <c r="B137" s="798"/>
      <c r="C137" s="798"/>
      <c r="D137" s="798"/>
      <c r="E137" s="798"/>
      <c r="F137" s="798"/>
      <c r="G137" s="798"/>
      <c r="H137" s="798"/>
      <c r="I137" s="798"/>
      <c r="J137" s="798"/>
      <c r="K137" s="798"/>
      <c r="L137" s="913"/>
      <c r="M137" s="913"/>
      <c r="N137" s="85"/>
      <c r="O137" s="803"/>
      <c r="P137" s="721" t="s">
        <v>417</v>
      </c>
      <c r="Q137" s="721" t="s">
        <v>72</v>
      </c>
      <c r="R137" s="721">
        <v>4</v>
      </c>
      <c r="S137" s="721">
        <v>1</v>
      </c>
      <c r="T137" s="721">
        <v>1</v>
      </c>
      <c r="U137" s="721">
        <v>1</v>
      </c>
      <c r="V137" s="722">
        <v>1</v>
      </c>
      <c r="W137" s="778"/>
      <c r="X137" s="770"/>
      <c r="Y137" s="785"/>
      <c r="Z137" s="785"/>
      <c r="AA137" s="547">
        <v>1</v>
      </c>
      <c r="AB137" s="587"/>
      <c r="AC137" s="587"/>
      <c r="AD137" s="547"/>
      <c r="AE137" s="590"/>
      <c r="AF137" s="588"/>
      <c r="AG137" s="588"/>
      <c r="AH137" s="588"/>
      <c r="AI137" s="588"/>
      <c r="AJ137" s="588"/>
      <c r="AK137" s="588"/>
      <c r="AL137" s="588"/>
      <c r="AM137" s="588"/>
      <c r="AN137" s="588"/>
      <c r="AO137" s="588"/>
      <c r="AP137" s="588"/>
      <c r="AQ137" s="588"/>
      <c r="AR137" s="588"/>
      <c r="AS137" s="588"/>
      <c r="AT137" s="357" t="s">
        <v>406</v>
      </c>
      <c r="AU137" s="357" t="s">
        <v>406</v>
      </c>
      <c r="AV137" s="789"/>
    </row>
    <row r="138" spans="1:55" s="1" customFormat="1" ht="63" customHeight="1">
      <c r="A138" s="890"/>
      <c r="B138" s="798"/>
      <c r="C138" s="798"/>
      <c r="D138" s="798"/>
      <c r="E138" s="798"/>
      <c r="F138" s="798"/>
      <c r="G138" s="798"/>
      <c r="H138" s="798"/>
      <c r="I138" s="798"/>
      <c r="J138" s="798"/>
      <c r="K138" s="798"/>
      <c r="L138" s="913"/>
      <c r="M138" s="913"/>
      <c r="N138" s="85"/>
      <c r="O138" s="913"/>
      <c r="P138" s="721" t="s">
        <v>418</v>
      </c>
      <c r="Q138" s="721" t="s">
        <v>72</v>
      </c>
      <c r="R138" s="721">
        <v>9</v>
      </c>
      <c r="S138" s="721">
        <v>2</v>
      </c>
      <c r="T138" s="721">
        <v>3</v>
      </c>
      <c r="U138" s="721">
        <v>3</v>
      </c>
      <c r="V138" s="722">
        <v>1</v>
      </c>
      <c r="W138" s="778"/>
      <c r="X138" s="770"/>
      <c r="Y138" s="785"/>
      <c r="Z138" s="785"/>
      <c r="AA138" s="547">
        <v>3</v>
      </c>
      <c r="AB138" s="587"/>
      <c r="AC138" s="587"/>
      <c r="AD138" s="547"/>
      <c r="AE138" s="590"/>
      <c r="AF138" s="588"/>
      <c r="AG138" s="588"/>
      <c r="AH138" s="588"/>
      <c r="AI138" s="588"/>
      <c r="AJ138" s="588"/>
      <c r="AK138" s="588"/>
      <c r="AL138" s="588"/>
      <c r="AM138" s="588"/>
      <c r="AN138" s="588"/>
      <c r="AO138" s="588"/>
      <c r="AP138" s="588"/>
      <c r="AQ138" s="588"/>
      <c r="AR138" s="588"/>
      <c r="AS138" s="588"/>
      <c r="AT138" s="357" t="s">
        <v>406</v>
      </c>
      <c r="AU138" s="357" t="s">
        <v>406</v>
      </c>
      <c r="AV138" s="789"/>
    </row>
    <row r="139" spans="1:55" s="1" customFormat="1" ht="96" customHeight="1">
      <c r="A139" s="890"/>
      <c r="B139" s="798"/>
      <c r="C139" s="798"/>
      <c r="D139" s="798"/>
      <c r="E139" s="798"/>
      <c r="F139" s="798"/>
      <c r="G139" s="798"/>
      <c r="H139" s="798"/>
      <c r="I139" s="798"/>
      <c r="J139" s="798"/>
      <c r="K139" s="798"/>
      <c r="L139" s="913"/>
      <c r="M139" s="913"/>
      <c r="N139" s="85"/>
      <c r="O139" s="803"/>
      <c r="P139" s="721" t="s">
        <v>419</v>
      </c>
      <c r="Q139" s="721" t="s">
        <v>72</v>
      </c>
      <c r="R139" s="721">
        <v>12</v>
      </c>
      <c r="S139" s="721">
        <v>3</v>
      </c>
      <c r="T139" s="721">
        <v>3</v>
      </c>
      <c r="U139" s="721">
        <v>3</v>
      </c>
      <c r="V139" s="722">
        <v>3</v>
      </c>
      <c r="W139" s="778"/>
      <c r="X139" s="770"/>
      <c r="Y139" s="785"/>
      <c r="Z139" s="785"/>
      <c r="AA139" s="547">
        <v>3</v>
      </c>
      <c r="AB139" s="587"/>
      <c r="AC139" s="587"/>
      <c r="AD139" s="547"/>
      <c r="AE139" s="590"/>
      <c r="AF139" s="588"/>
      <c r="AG139" s="588"/>
      <c r="AH139" s="588"/>
      <c r="AI139" s="588"/>
      <c r="AJ139" s="588"/>
      <c r="AK139" s="588"/>
      <c r="AL139" s="588"/>
      <c r="AM139" s="588"/>
      <c r="AN139" s="588"/>
      <c r="AO139" s="588"/>
      <c r="AP139" s="588"/>
      <c r="AQ139" s="588"/>
      <c r="AR139" s="588"/>
      <c r="AS139" s="588"/>
      <c r="AT139" s="357" t="s">
        <v>406</v>
      </c>
      <c r="AU139" s="357" t="s">
        <v>406</v>
      </c>
      <c r="AV139" s="789"/>
    </row>
    <row r="140" spans="1:55" s="1" customFormat="1" ht="75" customHeight="1" thickBot="1">
      <c r="A140" s="891"/>
      <c r="B140" s="807"/>
      <c r="C140" s="807"/>
      <c r="D140" s="807"/>
      <c r="E140" s="807"/>
      <c r="F140" s="807"/>
      <c r="G140" s="807"/>
      <c r="H140" s="807"/>
      <c r="I140" s="807"/>
      <c r="J140" s="807"/>
      <c r="K140" s="807"/>
      <c r="L140" s="834"/>
      <c r="M140" s="834"/>
      <c r="N140" s="93"/>
      <c r="O140" s="92" t="s">
        <v>420</v>
      </c>
      <c r="P140" s="721" t="s">
        <v>421</v>
      </c>
      <c r="Q140" s="721" t="s">
        <v>72</v>
      </c>
      <c r="R140" s="721">
        <v>4</v>
      </c>
      <c r="S140" s="721">
        <v>1</v>
      </c>
      <c r="T140" s="721">
        <v>1</v>
      </c>
      <c r="U140" s="721">
        <v>1</v>
      </c>
      <c r="V140" s="722">
        <v>1</v>
      </c>
      <c r="W140" s="782"/>
      <c r="X140" s="771"/>
      <c r="Y140" s="785"/>
      <c r="Z140" s="785"/>
      <c r="AA140" s="547">
        <v>3</v>
      </c>
      <c r="AB140" s="587"/>
      <c r="AC140" s="587"/>
      <c r="AD140" s="547"/>
      <c r="AE140" s="590"/>
      <c r="AF140" s="588"/>
      <c r="AG140" s="588"/>
      <c r="AH140" s="588"/>
      <c r="AI140" s="588"/>
      <c r="AJ140" s="588"/>
      <c r="AK140" s="588"/>
      <c r="AL140" s="588"/>
      <c r="AM140" s="588"/>
      <c r="AN140" s="588"/>
      <c r="AO140" s="588"/>
      <c r="AP140" s="588"/>
      <c r="AQ140" s="588"/>
      <c r="AR140" s="588"/>
      <c r="AS140" s="588"/>
      <c r="AT140" s="357" t="s">
        <v>406</v>
      </c>
      <c r="AU140" s="357" t="s">
        <v>406</v>
      </c>
      <c r="AV140" s="790"/>
    </row>
    <row r="141" spans="1:55" s="1" customFormat="1" ht="97.5" customHeight="1" thickBot="1">
      <c r="A141" s="899" t="s">
        <v>422</v>
      </c>
      <c r="B141" s="794" t="s">
        <v>423</v>
      </c>
      <c r="C141" s="794" t="s">
        <v>424</v>
      </c>
      <c r="D141" s="794" t="s">
        <v>425</v>
      </c>
      <c r="E141" s="794" t="s">
        <v>426</v>
      </c>
      <c r="F141" s="95" t="s">
        <v>72</v>
      </c>
      <c r="G141" s="95">
        <v>3</v>
      </c>
      <c r="H141" s="794">
        <v>12</v>
      </c>
      <c r="I141" s="794" t="s">
        <v>427</v>
      </c>
      <c r="J141" s="794" t="s">
        <v>428</v>
      </c>
      <c r="K141" s="794" t="s">
        <v>340</v>
      </c>
      <c r="L141" s="918">
        <v>2</v>
      </c>
      <c r="M141" s="918">
        <v>10</v>
      </c>
      <c r="N141" s="96"/>
      <c r="O141" s="794" t="s">
        <v>429</v>
      </c>
      <c r="P141" s="721" t="s">
        <v>430</v>
      </c>
      <c r="Q141" s="721" t="s">
        <v>142</v>
      </c>
      <c r="R141" s="357">
        <v>1</v>
      </c>
      <c r="S141" s="357">
        <v>0</v>
      </c>
      <c r="T141" s="357">
        <v>0</v>
      </c>
      <c r="U141" s="357">
        <v>0</v>
      </c>
      <c r="V141" s="357">
        <v>1</v>
      </c>
      <c r="W141" s="769" t="s">
        <v>431</v>
      </c>
      <c r="X141" s="769" t="s">
        <v>76</v>
      </c>
      <c r="Y141" s="921">
        <v>158201568</v>
      </c>
      <c r="Z141" s="921">
        <f>Y141</f>
        <v>158201568</v>
      </c>
      <c r="AA141" s="547">
        <v>0</v>
      </c>
      <c r="AB141" s="587"/>
      <c r="AC141" s="587"/>
      <c r="AD141" s="547"/>
      <c r="AE141" s="590"/>
      <c r="AF141" s="588"/>
      <c r="AG141" s="588"/>
      <c r="AH141" s="592"/>
      <c r="AI141" s="592"/>
      <c r="AJ141" s="592"/>
      <c r="AK141" s="592"/>
      <c r="AL141" s="592"/>
      <c r="AM141" s="592"/>
      <c r="AN141" s="592"/>
      <c r="AO141" s="592"/>
      <c r="AP141" s="592"/>
      <c r="AQ141" s="592"/>
      <c r="AR141" s="592"/>
      <c r="AS141" s="592"/>
      <c r="AT141" s="585" t="s">
        <v>244</v>
      </c>
      <c r="AU141" s="585" t="s">
        <v>244</v>
      </c>
      <c r="AV141" s="788" t="s">
        <v>432</v>
      </c>
    </row>
    <row r="142" spans="1:55" s="1" customFormat="1" ht="97.5" customHeight="1" thickBot="1">
      <c r="A142" s="900"/>
      <c r="B142" s="795"/>
      <c r="C142" s="795"/>
      <c r="D142" s="795"/>
      <c r="E142" s="796"/>
      <c r="F142" s="98"/>
      <c r="G142" s="98"/>
      <c r="H142" s="796"/>
      <c r="I142" s="795"/>
      <c r="J142" s="795"/>
      <c r="K142" s="795"/>
      <c r="L142" s="919"/>
      <c r="M142" s="919"/>
      <c r="N142" s="385"/>
      <c r="O142" s="795"/>
      <c r="P142" s="721" t="s">
        <v>433</v>
      </c>
      <c r="Q142" s="721" t="s">
        <v>142</v>
      </c>
      <c r="R142" s="357">
        <v>1</v>
      </c>
      <c r="S142" s="357">
        <v>0</v>
      </c>
      <c r="T142" s="357">
        <v>0</v>
      </c>
      <c r="U142" s="357">
        <v>0</v>
      </c>
      <c r="V142" s="357">
        <v>1</v>
      </c>
      <c r="W142" s="770"/>
      <c r="X142" s="770"/>
      <c r="Y142" s="921"/>
      <c r="Z142" s="921"/>
      <c r="AA142" s="547">
        <v>0</v>
      </c>
      <c r="AB142" s="587"/>
      <c r="AC142" s="587"/>
      <c r="AD142" s="547"/>
      <c r="AE142" s="590"/>
      <c r="AF142" s="588"/>
      <c r="AG142" s="588"/>
      <c r="AH142" s="592"/>
      <c r="AI142" s="592"/>
      <c r="AJ142" s="592"/>
      <c r="AK142" s="592"/>
      <c r="AL142" s="592"/>
      <c r="AM142" s="592"/>
      <c r="AN142" s="592"/>
      <c r="AO142" s="592"/>
      <c r="AP142" s="592"/>
      <c r="AQ142" s="592"/>
      <c r="AR142" s="592"/>
      <c r="AS142" s="592"/>
      <c r="AT142" s="585"/>
      <c r="AU142" s="585"/>
      <c r="AV142" s="789"/>
    </row>
    <row r="143" spans="1:55" s="1" customFormat="1" ht="108" customHeight="1" thickBot="1">
      <c r="A143" s="900"/>
      <c r="B143" s="795"/>
      <c r="C143" s="796"/>
      <c r="D143" s="796"/>
      <c r="E143" s="98" t="s">
        <v>434</v>
      </c>
      <c r="F143" s="99" t="s">
        <v>72</v>
      </c>
      <c r="G143" s="99" t="s">
        <v>69</v>
      </c>
      <c r="H143" s="99">
        <v>8</v>
      </c>
      <c r="I143" s="796"/>
      <c r="J143" s="796"/>
      <c r="K143" s="796"/>
      <c r="L143" s="920"/>
      <c r="M143" s="920"/>
      <c r="N143" s="100"/>
      <c r="O143" s="796"/>
      <c r="P143" s="721" t="s">
        <v>435</v>
      </c>
      <c r="Q143" s="721" t="s">
        <v>142</v>
      </c>
      <c r="R143" s="357">
        <v>1</v>
      </c>
      <c r="S143" s="357">
        <v>0</v>
      </c>
      <c r="T143" s="357">
        <v>0</v>
      </c>
      <c r="U143" s="357">
        <v>0</v>
      </c>
      <c r="V143" s="357">
        <v>1</v>
      </c>
      <c r="W143" s="776"/>
      <c r="X143" s="776"/>
      <c r="Y143" s="921"/>
      <c r="Z143" s="921"/>
      <c r="AA143" s="547">
        <v>0</v>
      </c>
      <c r="AB143" s="587"/>
      <c r="AC143" s="587"/>
      <c r="AD143" s="547"/>
      <c r="AE143" s="590"/>
      <c r="AF143" s="588"/>
      <c r="AG143" s="588"/>
      <c r="AH143" s="592"/>
      <c r="AI143" s="592"/>
      <c r="AJ143" s="592"/>
      <c r="AK143" s="592"/>
      <c r="AL143" s="592"/>
      <c r="AM143" s="592"/>
      <c r="AN143" s="592"/>
      <c r="AO143" s="592"/>
      <c r="AP143" s="592"/>
      <c r="AQ143" s="592"/>
      <c r="AR143" s="592"/>
      <c r="AS143" s="592"/>
      <c r="AT143" s="585" t="s">
        <v>244</v>
      </c>
      <c r="AU143" s="585" t="s">
        <v>244</v>
      </c>
      <c r="AV143" s="789"/>
      <c r="AX143" s="1">
        <v>1020100</v>
      </c>
      <c r="AZ143" s="1">
        <v>89838668.807999998</v>
      </c>
      <c r="BA143" s="1">
        <f>+AZ143/2</f>
        <v>44919334.403999999</v>
      </c>
      <c r="BC143" s="1">
        <v>44919334.403999999</v>
      </c>
    </row>
    <row r="144" spans="1:55" s="1" customFormat="1" ht="143.25" customHeight="1" thickBot="1">
      <c r="A144" s="900"/>
      <c r="B144" s="795"/>
      <c r="C144" s="792" t="s">
        <v>436</v>
      </c>
      <c r="D144" s="792" t="s">
        <v>437</v>
      </c>
      <c r="E144" s="792" t="s">
        <v>438</v>
      </c>
      <c r="F144" s="792" t="s">
        <v>93</v>
      </c>
      <c r="G144" s="792" t="s">
        <v>69</v>
      </c>
      <c r="H144" s="792">
        <v>50</v>
      </c>
      <c r="I144" s="792" t="s">
        <v>439</v>
      </c>
      <c r="J144" s="104" t="s">
        <v>440</v>
      </c>
      <c r="K144" s="104" t="s">
        <v>72</v>
      </c>
      <c r="L144" s="102">
        <v>2</v>
      </c>
      <c r="M144" s="102">
        <v>4</v>
      </c>
      <c r="N144" s="100"/>
      <c r="O144" s="792" t="s">
        <v>441</v>
      </c>
      <c r="P144" s="721" t="s">
        <v>442</v>
      </c>
      <c r="Q144" s="721" t="s">
        <v>142</v>
      </c>
      <c r="R144" s="721">
        <v>1</v>
      </c>
      <c r="S144" s="721">
        <v>0</v>
      </c>
      <c r="T144" s="721">
        <v>0</v>
      </c>
      <c r="U144" s="721">
        <v>0</v>
      </c>
      <c r="V144" s="357">
        <v>1</v>
      </c>
      <c r="W144" s="357"/>
      <c r="X144" s="357" t="s">
        <v>76</v>
      </c>
      <c r="Y144" s="921">
        <v>0</v>
      </c>
      <c r="Z144" s="921">
        <v>0</v>
      </c>
      <c r="AA144" s="547">
        <v>0</v>
      </c>
      <c r="AB144" s="587"/>
      <c r="AC144" s="587"/>
      <c r="AD144" s="547"/>
      <c r="AE144" s="590"/>
      <c r="AF144" s="588"/>
      <c r="AG144" s="588"/>
      <c r="AH144" s="592"/>
      <c r="AI144" s="592"/>
      <c r="AJ144" s="592"/>
      <c r="AK144" s="592"/>
      <c r="AL144" s="592"/>
      <c r="AM144" s="592"/>
      <c r="AN144" s="592"/>
      <c r="AO144" s="592"/>
      <c r="AP144" s="592"/>
      <c r="AQ144" s="592"/>
      <c r="AR144" s="592"/>
      <c r="AS144" s="592"/>
      <c r="AT144" s="585" t="s">
        <v>244</v>
      </c>
      <c r="AU144" s="585" t="s">
        <v>244</v>
      </c>
      <c r="AV144" s="789"/>
    </row>
    <row r="145" spans="1:54" s="1" customFormat="1" ht="77.25" customHeight="1" thickBot="1">
      <c r="A145" s="901"/>
      <c r="B145" s="793"/>
      <c r="C145" s="793"/>
      <c r="D145" s="793"/>
      <c r="E145" s="793"/>
      <c r="F145" s="793"/>
      <c r="G145" s="793"/>
      <c r="H145" s="793"/>
      <c r="I145" s="793"/>
      <c r="J145" s="105" t="s">
        <v>443</v>
      </c>
      <c r="K145" s="105" t="s">
        <v>93</v>
      </c>
      <c r="L145" s="105">
        <v>80</v>
      </c>
      <c r="M145" s="105">
        <v>100</v>
      </c>
      <c r="N145" s="107"/>
      <c r="O145" s="793"/>
      <c r="P145" s="721" t="s">
        <v>444</v>
      </c>
      <c r="Q145" s="721" t="s">
        <v>72</v>
      </c>
      <c r="R145" s="721">
        <v>1</v>
      </c>
      <c r="S145" s="721">
        <v>0</v>
      </c>
      <c r="T145" s="721">
        <v>0</v>
      </c>
      <c r="U145" s="721">
        <v>0</v>
      </c>
      <c r="V145" s="357">
        <v>1</v>
      </c>
      <c r="W145" s="358"/>
      <c r="X145" s="607" t="s">
        <v>76</v>
      </c>
      <c r="Y145" s="921"/>
      <c r="Z145" s="921"/>
      <c r="AA145" s="547">
        <v>0</v>
      </c>
      <c r="AB145" s="587"/>
      <c r="AC145" s="587"/>
      <c r="AD145" s="547"/>
      <c r="AE145" s="590"/>
      <c r="AF145" s="588"/>
      <c r="AG145" s="588"/>
      <c r="AH145" s="592"/>
      <c r="AI145" s="592"/>
      <c r="AJ145" s="592"/>
      <c r="AK145" s="592"/>
      <c r="AL145" s="592"/>
      <c r="AM145" s="592"/>
      <c r="AN145" s="592"/>
      <c r="AO145" s="592"/>
      <c r="AP145" s="592"/>
      <c r="AQ145" s="592"/>
      <c r="AR145" s="592"/>
      <c r="AS145" s="592"/>
      <c r="AT145" s="585" t="s">
        <v>244</v>
      </c>
      <c r="AU145" s="585" t="s">
        <v>244</v>
      </c>
      <c r="AV145" s="790"/>
    </row>
    <row r="146" spans="1:54" s="1" customFormat="1" ht="114.75" customHeight="1" thickBot="1">
      <c r="A146" s="893" t="s">
        <v>445</v>
      </c>
      <c r="B146" s="758" t="s">
        <v>446</v>
      </c>
      <c r="C146" s="766" t="s">
        <v>447</v>
      </c>
      <c r="D146" s="758" t="s">
        <v>448</v>
      </c>
      <c r="E146" s="758" t="s">
        <v>449</v>
      </c>
      <c r="F146" s="758"/>
      <c r="G146" s="758"/>
      <c r="H146" s="758">
        <v>100</v>
      </c>
      <c r="I146" s="758" t="s">
        <v>450</v>
      </c>
      <c r="J146" s="758" t="s">
        <v>451</v>
      </c>
      <c r="K146" s="758" t="s">
        <v>86</v>
      </c>
      <c r="L146" s="750">
        <v>1</v>
      </c>
      <c r="M146" s="750">
        <v>1</v>
      </c>
      <c r="N146" s="1270"/>
      <c r="O146" s="791" t="s">
        <v>452</v>
      </c>
      <c r="P146" s="721" t="s">
        <v>453</v>
      </c>
      <c r="Q146" s="721" t="s">
        <v>72</v>
      </c>
      <c r="R146" s="721">
        <v>1</v>
      </c>
      <c r="S146" s="721">
        <v>0</v>
      </c>
      <c r="T146" s="721">
        <v>1</v>
      </c>
      <c r="U146" s="721">
        <v>0</v>
      </c>
      <c r="V146" s="361">
        <v>0</v>
      </c>
      <c r="W146" s="769" t="s">
        <v>95</v>
      </c>
      <c r="X146" s="769" t="s">
        <v>76</v>
      </c>
      <c r="Y146" s="784">
        <v>411853082</v>
      </c>
      <c r="Z146" s="784">
        <f>+Y146</f>
        <v>411853082</v>
      </c>
      <c r="AA146" s="703">
        <v>0</v>
      </c>
      <c r="AB146" s="587"/>
      <c r="AC146" s="587"/>
      <c r="AD146" s="547"/>
      <c r="AE146" s="590"/>
      <c r="AF146" s="588"/>
      <c r="AG146" s="588"/>
      <c r="AH146" s="592"/>
      <c r="AI146" s="592"/>
      <c r="AJ146" s="592"/>
      <c r="AK146" s="592"/>
      <c r="AL146" s="592"/>
      <c r="AM146" s="592"/>
      <c r="AN146" s="592"/>
      <c r="AO146" s="592"/>
      <c r="AP146" s="592"/>
      <c r="AQ146" s="592"/>
      <c r="AR146" s="592"/>
      <c r="AS146" s="592"/>
      <c r="AT146" s="585" t="s">
        <v>454</v>
      </c>
      <c r="AU146" s="585" t="s">
        <v>454</v>
      </c>
      <c r="AV146" s="789"/>
    </row>
    <row r="147" spans="1:54" s="1" customFormat="1" ht="114.75" customHeight="1" thickBot="1">
      <c r="A147" s="893"/>
      <c r="B147" s="758"/>
      <c r="C147" s="758"/>
      <c r="D147" s="758"/>
      <c r="E147" s="758"/>
      <c r="F147" s="758"/>
      <c r="G147" s="758"/>
      <c r="H147" s="758"/>
      <c r="I147" s="758"/>
      <c r="J147" s="758"/>
      <c r="K147" s="758"/>
      <c r="L147" s="750"/>
      <c r="M147" s="750"/>
      <c r="N147" s="1270"/>
      <c r="O147" s="791"/>
      <c r="P147" s="721" t="s">
        <v>455</v>
      </c>
      <c r="Q147" s="721" t="s">
        <v>93</v>
      </c>
      <c r="R147" s="721">
        <v>1</v>
      </c>
      <c r="S147" s="721">
        <v>1</v>
      </c>
      <c r="T147" s="721">
        <v>1</v>
      </c>
      <c r="U147" s="721">
        <v>1</v>
      </c>
      <c r="V147" s="357">
        <v>1</v>
      </c>
      <c r="W147" s="770"/>
      <c r="X147" s="770"/>
      <c r="Y147" s="785"/>
      <c r="Z147" s="785"/>
      <c r="AA147" s="703">
        <v>1</v>
      </c>
      <c r="AB147" s="587"/>
      <c r="AC147" s="587"/>
      <c r="AD147" s="547"/>
      <c r="AE147" s="590"/>
      <c r="AF147" s="588"/>
      <c r="AG147" s="588"/>
      <c r="AH147" s="592"/>
      <c r="AI147" s="592"/>
      <c r="AJ147" s="592"/>
      <c r="AK147" s="592"/>
      <c r="AL147" s="592"/>
      <c r="AM147" s="592"/>
      <c r="AN147" s="592"/>
      <c r="AO147" s="592"/>
      <c r="AP147" s="592"/>
      <c r="AQ147" s="592"/>
      <c r="AR147" s="592"/>
      <c r="AS147" s="592"/>
      <c r="AT147" s="585" t="s">
        <v>454</v>
      </c>
      <c r="AU147" s="585" t="s">
        <v>454</v>
      </c>
      <c r="AV147" s="789"/>
    </row>
    <row r="148" spans="1:54" s="1" customFormat="1" ht="114.75" customHeight="1" thickBot="1">
      <c r="A148" s="893"/>
      <c r="B148" s="758"/>
      <c r="C148" s="758"/>
      <c r="D148" s="758"/>
      <c r="E148" s="758"/>
      <c r="F148" s="758"/>
      <c r="G148" s="758"/>
      <c r="H148" s="758"/>
      <c r="I148" s="758"/>
      <c r="J148" s="758"/>
      <c r="K148" s="758"/>
      <c r="L148" s="750"/>
      <c r="M148" s="750"/>
      <c r="N148" s="1270"/>
      <c r="O148" s="915" t="s">
        <v>456</v>
      </c>
      <c r="P148" s="721" t="s">
        <v>457</v>
      </c>
      <c r="Q148" s="721" t="s">
        <v>142</v>
      </c>
      <c r="R148" s="721">
        <v>1</v>
      </c>
      <c r="S148" s="721">
        <v>0</v>
      </c>
      <c r="T148" s="721">
        <v>0</v>
      </c>
      <c r="U148" s="721">
        <v>0</v>
      </c>
      <c r="V148" s="357">
        <v>1</v>
      </c>
      <c r="W148" s="770"/>
      <c r="X148" s="770"/>
      <c r="Y148" s="785"/>
      <c r="Z148" s="785"/>
      <c r="AA148" s="357">
        <v>0</v>
      </c>
      <c r="AB148" s="587"/>
      <c r="AC148" s="587"/>
      <c r="AD148" s="547"/>
      <c r="AE148" s="590"/>
      <c r="AF148" s="588"/>
      <c r="AG148" s="588"/>
      <c r="AH148" s="592"/>
      <c r="AI148" s="592"/>
      <c r="AJ148" s="592"/>
      <c r="AK148" s="592"/>
      <c r="AL148" s="592"/>
      <c r="AM148" s="592"/>
      <c r="AN148" s="592"/>
      <c r="AO148" s="592"/>
      <c r="AP148" s="592"/>
      <c r="AQ148" s="592"/>
      <c r="AR148" s="592"/>
      <c r="AS148" s="592"/>
      <c r="AT148" s="585" t="s">
        <v>454</v>
      </c>
      <c r="AU148" s="585" t="s">
        <v>454</v>
      </c>
      <c r="AV148" s="789"/>
    </row>
    <row r="149" spans="1:54" s="1" customFormat="1" ht="114.75" customHeight="1" thickBot="1">
      <c r="A149" s="893"/>
      <c r="B149" s="758"/>
      <c r="C149" s="758"/>
      <c r="D149" s="758"/>
      <c r="E149" s="758"/>
      <c r="F149" s="758"/>
      <c r="G149" s="758"/>
      <c r="H149" s="758"/>
      <c r="I149" s="758"/>
      <c r="J149" s="759"/>
      <c r="K149" s="759"/>
      <c r="L149" s="757"/>
      <c r="M149" s="757"/>
      <c r="N149" s="1270"/>
      <c r="O149" s="916"/>
      <c r="P149" s="721" t="s">
        <v>458</v>
      </c>
      <c r="Q149" s="721" t="s">
        <v>142</v>
      </c>
      <c r="R149" s="721">
        <v>1</v>
      </c>
      <c r="S149" s="721">
        <v>0</v>
      </c>
      <c r="T149" s="721">
        <v>0</v>
      </c>
      <c r="U149" s="721">
        <v>1</v>
      </c>
      <c r="V149" s="357">
        <v>0</v>
      </c>
      <c r="W149" s="770"/>
      <c r="X149" s="770"/>
      <c r="Y149" s="785"/>
      <c r="Z149" s="785"/>
      <c r="AA149" s="357">
        <v>0</v>
      </c>
      <c r="AB149" s="587"/>
      <c r="AC149" s="587"/>
      <c r="AD149" s="547"/>
      <c r="AE149" s="590"/>
      <c r="AF149" s="588"/>
      <c r="AG149" s="588"/>
      <c r="AH149" s="592"/>
      <c r="AI149" s="592"/>
      <c r="AJ149" s="592"/>
      <c r="AK149" s="592"/>
      <c r="AL149" s="592"/>
      <c r="AM149" s="592"/>
      <c r="AN149" s="592"/>
      <c r="AO149" s="592"/>
      <c r="AP149" s="592"/>
      <c r="AQ149" s="592"/>
      <c r="AR149" s="592"/>
      <c r="AS149" s="592"/>
      <c r="AT149" s="585" t="s">
        <v>454</v>
      </c>
      <c r="AU149" s="585" t="s">
        <v>454</v>
      </c>
      <c r="AV149" s="789"/>
    </row>
    <row r="150" spans="1:54" s="1" customFormat="1" ht="78" customHeight="1" thickBot="1">
      <c r="A150" s="893"/>
      <c r="B150" s="758"/>
      <c r="C150" s="758"/>
      <c r="D150" s="758"/>
      <c r="E150" s="758"/>
      <c r="F150" s="758"/>
      <c r="G150" s="758"/>
      <c r="H150" s="758"/>
      <c r="I150" s="758"/>
      <c r="J150" s="760" t="s">
        <v>459</v>
      </c>
      <c r="K150" s="760" t="s">
        <v>93</v>
      </c>
      <c r="L150" s="749">
        <v>100</v>
      </c>
      <c r="M150" s="749">
        <v>100</v>
      </c>
      <c r="N150" s="1271"/>
      <c r="O150" s="760" t="s">
        <v>460</v>
      </c>
      <c r="P150" s="721" t="s">
        <v>461</v>
      </c>
      <c r="Q150" s="721" t="s">
        <v>72</v>
      </c>
      <c r="R150" s="721">
        <v>2</v>
      </c>
      <c r="S150" s="721">
        <v>1</v>
      </c>
      <c r="T150" s="721">
        <v>0</v>
      </c>
      <c r="U150" s="721">
        <v>1</v>
      </c>
      <c r="V150" s="357">
        <v>0</v>
      </c>
      <c r="W150" s="770"/>
      <c r="X150" s="770"/>
      <c r="Y150" s="785"/>
      <c r="Z150" s="785"/>
      <c r="AA150" s="703">
        <v>1</v>
      </c>
      <c r="AB150" s="587"/>
      <c r="AC150" s="587"/>
      <c r="AD150" s="547"/>
      <c r="AE150" s="590"/>
      <c r="AF150" s="588"/>
      <c r="AG150" s="588"/>
      <c r="AH150" s="592"/>
      <c r="AI150" s="592"/>
      <c r="AJ150" s="592"/>
      <c r="AK150" s="592"/>
      <c r="AL150" s="592"/>
      <c r="AM150" s="592"/>
      <c r="AN150" s="592"/>
      <c r="AO150" s="592"/>
      <c r="AP150" s="592"/>
      <c r="AQ150" s="592"/>
      <c r="AR150" s="592"/>
      <c r="AS150" s="592"/>
      <c r="AT150" s="585" t="s">
        <v>454</v>
      </c>
      <c r="AU150" s="585" t="s">
        <v>454</v>
      </c>
      <c r="AV150" s="789"/>
    </row>
    <row r="151" spans="1:54" s="1" customFormat="1" ht="52.5" customHeight="1" thickBot="1">
      <c r="A151" s="893"/>
      <c r="B151" s="758"/>
      <c r="C151" s="758"/>
      <c r="D151" s="758"/>
      <c r="E151" s="758"/>
      <c r="F151" s="758"/>
      <c r="G151" s="758"/>
      <c r="H151" s="758"/>
      <c r="I151" s="758"/>
      <c r="J151" s="758"/>
      <c r="K151" s="758"/>
      <c r="L151" s="750"/>
      <c r="M151" s="750"/>
      <c r="N151" s="1271"/>
      <c r="O151" s="758"/>
      <c r="P151" s="721" t="s">
        <v>462</v>
      </c>
      <c r="Q151" s="721" t="s">
        <v>72</v>
      </c>
      <c r="R151" s="721">
        <v>2</v>
      </c>
      <c r="S151" s="721">
        <v>1</v>
      </c>
      <c r="T151" s="721">
        <v>0</v>
      </c>
      <c r="U151" s="721">
        <v>1</v>
      </c>
      <c r="V151" s="357">
        <v>0</v>
      </c>
      <c r="W151" s="770"/>
      <c r="X151" s="770"/>
      <c r="Y151" s="785"/>
      <c r="Z151" s="785"/>
      <c r="AA151" s="703">
        <v>1</v>
      </c>
      <c r="AB151" s="587"/>
      <c r="AC151" s="587"/>
      <c r="AD151" s="547"/>
      <c r="AE151" s="590"/>
      <c r="AF151" s="588"/>
      <c r="AG151" s="588"/>
      <c r="AH151" s="592"/>
      <c r="AI151" s="592"/>
      <c r="AJ151" s="592"/>
      <c r="AK151" s="592"/>
      <c r="AL151" s="592"/>
      <c r="AM151" s="592"/>
      <c r="AN151" s="592"/>
      <c r="AO151" s="592"/>
      <c r="AP151" s="592"/>
      <c r="AQ151" s="592"/>
      <c r="AR151" s="592"/>
      <c r="AS151" s="592"/>
      <c r="AT151" s="585" t="s">
        <v>454</v>
      </c>
      <c r="AU151" s="585" t="s">
        <v>454</v>
      </c>
      <c r="AV151" s="789"/>
    </row>
    <row r="152" spans="1:54" s="1" customFormat="1" ht="98.25" customHeight="1" thickBot="1">
      <c r="A152" s="893"/>
      <c r="B152" s="758"/>
      <c r="C152" s="758"/>
      <c r="D152" s="758"/>
      <c r="E152" s="758"/>
      <c r="F152" s="758"/>
      <c r="G152" s="758"/>
      <c r="H152" s="758"/>
      <c r="I152" s="758"/>
      <c r="J152" s="758"/>
      <c r="K152" s="758"/>
      <c r="L152" s="750"/>
      <c r="M152" s="750"/>
      <c r="N152" s="1271"/>
      <c r="O152" s="758"/>
      <c r="P152" s="721" t="s">
        <v>463</v>
      </c>
      <c r="Q152" s="721" t="s">
        <v>72</v>
      </c>
      <c r="R152" s="721">
        <v>1</v>
      </c>
      <c r="S152" s="721">
        <v>0</v>
      </c>
      <c r="T152" s="721">
        <v>0</v>
      </c>
      <c r="U152" s="721">
        <v>1</v>
      </c>
      <c r="V152" s="357">
        <v>0</v>
      </c>
      <c r="W152" s="770"/>
      <c r="X152" s="770"/>
      <c r="Y152" s="785"/>
      <c r="Z152" s="785"/>
      <c r="AA152" s="703">
        <v>0</v>
      </c>
      <c r="AB152" s="587"/>
      <c r="AC152" s="587"/>
      <c r="AD152" s="547"/>
      <c r="AE152" s="590"/>
      <c r="AF152" s="588"/>
      <c r="AG152" s="588"/>
      <c r="AH152" s="592"/>
      <c r="AI152" s="592"/>
      <c r="AJ152" s="592"/>
      <c r="AK152" s="592"/>
      <c r="AL152" s="592"/>
      <c r="AM152" s="592"/>
      <c r="AN152" s="592"/>
      <c r="AO152" s="592"/>
      <c r="AP152" s="592"/>
      <c r="AQ152" s="592"/>
      <c r="AR152" s="592"/>
      <c r="AS152" s="592"/>
      <c r="AT152" s="585" t="s">
        <v>454</v>
      </c>
      <c r="AU152" s="585" t="s">
        <v>454</v>
      </c>
      <c r="AV152" s="789"/>
    </row>
    <row r="153" spans="1:54" s="1" customFormat="1" ht="52.5" customHeight="1" thickBot="1">
      <c r="A153" s="893"/>
      <c r="B153" s="758"/>
      <c r="C153" s="758"/>
      <c r="D153" s="758"/>
      <c r="E153" s="758"/>
      <c r="F153" s="758"/>
      <c r="G153" s="758"/>
      <c r="H153" s="758"/>
      <c r="I153" s="758"/>
      <c r="J153" s="758"/>
      <c r="K153" s="758"/>
      <c r="L153" s="750"/>
      <c r="M153" s="750"/>
      <c r="N153" s="1271"/>
      <c r="O153" s="758"/>
      <c r="P153" s="721" t="s">
        <v>464</v>
      </c>
      <c r="Q153" s="721" t="s">
        <v>72</v>
      </c>
      <c r="R153" s="721">
        <v>2</v>
      </c>
      <c r="S153" s="721">
        <v>1</v>
      </c>
      <c r="T153" s="721">
        <v>0</v>
      </c>
      <c r="U153" s="721">
        <v>1</v>
      </c>
      <c r="V153" s="357">
        <v>0</v>
      </c>
      <c r="W153" s="770"/>
      <c r="X153" s="770"/>
      <c r="Y153" s="785"/>
      <c r="Z153" s="785"/>
      <c r="AA153" s="703">
        <v>0</v>
      </c>
      <c r="AB153" s="587"/>
      <c r="AC153" s="587"/>
      <c r="AD153" s="547"/>
      <c r="AE153" s="590"/>
      <c r="AF153" s="588"/>
      <c r="AG153" s="588"/>
      <c r="AH153" s="592"/>
      <c r="AI153" s="592"/>
      <c r="AJ153" s="592"/>
      <c r="AK153" s="592"/>
      <c r="AL153" s="592"/>
      <c r="AM153" s="592"/>
      <c r="AN153" s="592"/>
      <c r="AO153" s="592"/>
      <c r="AP153" s="592"/>
      <c r="AQ153" s="592"/>
      <c r="AR153" s="592"/>
      <c r="AS153" s="592"/>
      <c r="AT153" s="585" t="s">
        <v>454</v>
      </c>
      <c r="AU153" s="585" t="s">
        <v>454</v>
      </c>
      <c r="AV153" s="789"/>
    </row>
    <row r="154" spans="1:54" s="1" customFormat="1" ht="97.5" customHeight="1" thickBot="1">
      <c r="A154" s="893"/>
      <c r="B154" s="758"/>
      <c r="C154" s="758"/>
      <c r="D154" s="758"/>
      <c r="E154" s="758"/>
      <c r="F154" s="758"/>
      <c r="G154" s="758"/>
      <c r="H154" s="758"/>
      <c r="I154" s="758"/>
      <c r="J154" s="758"/>
      <c r="K154" s="758"/>
      <c r="L154" s="750"/>
      <c r="M154" s="750"/>
      <c r="N154" s="1271"/>
      <c r="O154" s="805"/>
      <c r="P154" s="721" t="s">
        <v>465</v>
      </c>
      <c r="Q154" s="721" t="s">
        <v>72</v>
      </c>
      <c r="R154" s="721">
        <v>1</v>
      </c>
      <c r="S154" s="721">
        <v>1</v>
      </c>
      <c r="T154" s="721">
        <v>0</v>
      </c>
      <c r="U154" s="721">
        <v>0</v>
      </c>
      <c r="V154" s="357">
        <v>0</v>
      </c>
      <c r="W154" s="770"/>
      <c r="X154" s="770"/>
      <c r="Y154" s="785"/>
      <c r="Z154" s="785"/>
      <c r="AA154" s="740">
        <v>1</v>
      </c>
      <c r="AB154" s="587"/>
      <c r="AC154" s="587"/>
      <c r="AD154" s="547"/>
      <c r="AE154" s="590"/>
      <c r="AF154" s="588"/>
      <c r="AG154" s="588"/>
      <c r="AH154" s="592"/>
      <c r="AI154" s="592"/>
      <c r="AJ154" s="592"/>
      <c r="AK154" s="592"/>
      <c r="AL154" s="592"/>
      <c r="AM154" s="592"/>
      <c r="AN154" s="592"/>
      <c r="AO154" s="592"/>
      <c r="AP154" s="592"/>
      <c r="AQ154" s="592"/>
      <c r="AR154" s="592"/>
      <c r="AS154" s="592"/>
      <c r="AT154" s="585" t="s">
        <v>454</v>
      </c>
      <c r="AU154" s="585" t="s">
        <v>454</v>
      </c>
      <c r="AV154" s="789"/>
    </row>
    <row r="155" spans="1:54" s="1" customFormat="1" ht="97.5" customHeight="1" thickBot="1">
      <c r="A155" s="893"/>
      <c r="B155" s="758"/>
      <c r="C155" s="758"/>
      <c r="D155" s="758"/>
      <c r="E155" s="758"/>
      <c r="F155" s="758"/>
      <c r="G155" s="758"/>
      <c r="H155" s="758"/>
      <c r="I155" s="758"/>
      <c r="J155" s="758"/>
      <c r="K155" s="758"/>
      <c r="L155" s="750"/>
      <c r="M155" s="750"/>
      <c r="N155" s="746"/>
      <c r="O155" s="766" t="s">
        <v>466</v>
      </c>
      <c r="P155" s="721" t="s">
        <v>467</v>
      </c>
      <c r="Q155" s="721" t="s">
        <v>72</v>
      </c>
      <c r="R155" s="721">
        <v>2</v>
      </c>
      <c r="S155" s="721">
        <v>0</v>
      </c>
      <c r="T155" s="721">
        <v>1</v>
      </c>
      <c r="U155" s="721">
        <v>0</v>
      </c>
      <c r="V155" s="357">
        <v>1</v>
      </c>
      <c r="W155" s="770"/>
      <c r="X155" s="770"/>
      <c r="Y155" s="785"/>
      <c r="Z155" s="785"/>
      <c r="AA155" s="703">
        <v>0</v>
      </c>
      <c r="AB155" s="587"/>
      <c r="AC155" s="587"/>
      <c r="AD155" s="547"/>
      <c r="AE155" s="590"/>
      <c r="AF155" s="588"/>
      <c r="AG155" s="588"/>
      <c r="AH155" s="592"/>
      <c r="AI155" s="592"/>
      <c r="AJ155" s="592"/>
      <c r="AK155" s="592"/>
      <c r="AL155" s="592"/>
      <c r="AM155" s="592"/>
      <c r="AN155" s="592"/>
      <c r="AO155" s="592"/>
      <c r="AP155" s="592"/>
      <c r="AQ155" s="592"/>
      <c r="AR155" s="592"/>
      <c r="AS155" s="592"/>
      <c r="AT155" s="585" t="s">
        <v>454</v>
      </c>
      <c r="AU155" s="585" t="s">
        <v>454</v>
      </c>
      <c r="AV155" s="789"/>
    </row>
    <row r="156" spans="1:54" s="1" customFormat="1" ht="97.5" customHeight="1" thickBot="1">
      <c r="A156" s="893"/>
      <c r="B156" s="758"/>
      <c r="C156" s="805"/>
      <c r="D156" s="758"/>
      <c r="E156" s="758"/>
      <c r="F156" s="758"/>
      <c r="G156" s="758"/>
      <c r="H156" s="758"/>
      <c r="I156" s="758"/>
      <c r="J156" s="758"/>
      <c r="K156" s="758"/>
      <c r="L156" s="750"/>
      <c r="M156" s="750"/>
      <c r="N156" s="746"/>
      <c r="O156" s="758"/>
      <c r="P156" s="721" t="s">
        <v>468</v>
      </c>
      <c r="Q156" s="721" t="s">
        <v>142</v>
      </c>
      <c r="R156" s="721">
        <v>2</v>
      </c>
      <c r="S156" s="721">
        <v>0</v>
      </c>
      <c r="T156" s="721">
        <v>1</v>
      </c>
      <c r="U156" s="721">
        <v>0</v>
      </c>
      <c r="V156" s="357">
        <v>1</v>
      </c>
      <c r="W156" s="776"/>
      <c r="X156" s="771"/>
      <c r="Y156" s="787"/>
      <c r="Z156" s="787"/>
      <c r="AA156" s="703">
        <v>0</v>
      </c>
      <c r="AB156" s="587"/>
      <c r="AC156" s="587"/>
      <c r="AD156" s="547"/>
      <c r="AE156" s="590"/>
      <c r="AF156" s="588"/>
      <c r="AG156" s="588"/>
      <c r="AH156" s="592"/>
      <c r="AI156" s="592"/>
      <c r="AJ156" s="592"/>
      <c r="AK156" s="592"/>
      <c r="AL156" s="592"/>
      <c r="AM156" s="592"/>
      <c r="AN156" s="592"/>
      <c r="AO156" s="592"/>
      <c r="AP156" s="592"/>
      <c r="AQ156" s="592"/>
      <c r="AR156" s="592"/>
      <c r="AS156" s="592"/>
      <c r="AT156" s="585" t="s">
        <v>454</v>
      </c>
      <c r="AU156" s="585" t="s">
        <v>454</v>
      </c>
      <c r="AV156" s="789"/>
    </row>
    <row r="157" spans="1:54" s="1" customFormat="1" ht="152.25" customHeight="1" thickBot="1">
      <c r="A157" s="903" t="s">
        <v>469</v>
      </c>
      <c r="B157" s="906" t="s">
        <v>470</v>
      </c>
      <c r="C157" s="903" t="s">
        <v>471</v>
      </c>
      <c r="D157" s="906" t="s">
        <v>472</v>
      </c>
      <c r="E157" s="110" t="s">
        <v>473</v>
      </c>
      <c r="F157" s="110" t="s">
        <v>93</v>
      </c>
      <c r="G157" s="110" t="s">
        <v>69</v>
      </c>
      <c r="H157" s="110">
        <v>90</v>
      </c>
      <c r="I157" s="906" t="s">
        <v>474</v>
      </c>
      <c r="J157" s="111" t="s">
        <v>475</v>
      </c>
      <c r="K157" s="111" t="s">
        <v>93</v>
      </c>
      <c r="L157" s="112">
        <v>50</v>
      </c>
      <c r="M157" s="112">
        <v>100</v>
      </c>
      <c r="N157" s="113"/>
      <c r="O157" s="112" t="s">
        <v>476</v>
      </c>
      <c r="P157" s="721" t="s">
        <v>477</v>
      </c>
      <c r="Q157" s="721" t="s">
        <v>72</v>
      </c>
      <c r="R157" s="357">
        <v>12</v>
      </c>
      <c r="S157" s="721">
        <v>3</v>
      </c>
      <c r="T157" s="721">
        <v>3</v>
      </c>
      <c r="U157" s="721">
        <v>3</v>
      </c>
      <c r="V157" s="357">
        <v>3</v>
      </c>
      <c r="W157" s="777"/>
      <c r="X157" s="769" t="s">
        <v>76</v>
      </c>
      <c r="Y157" s="800">
        <v>1013421037.6799999</v>
      </c>
      <c r="Z157" s="800">
        <f>+Y157</f>
        <v>1013421037.6799999</v>
      </c>
      <c r="AA157" s="703">
        <v>4</v>
      </c>
      <c r="AB157" s="587"/>
      <c r="AC157" s="587"/>
      <c r="AD157" s="587"/>
      <c r="AE157" s="588"/>
      <c r="AF157" s="588"/>
      <c r="AG157" s="588"/>
      <c r="AH157" s="592"/>
      <c r="AI157" s="592"/>
      <c r="AJ157" s="592"/>
      <c r="AK157" s="653" t="s">
        <v>478</v>
      </c>
      <c r="AL157" s="653" t="s">
        <v>478</v>
      </c>
      <c r="AM157" s="653"/>
      <c r="AN157" s="653" t="s">
        <v>478</v>
      </c>
      <c r="AO157" s="653" t="s">
        <v>478</v>
      </c>
      <c r="AP157" s="592"/>
      <c r="AQ157" s="592"/>
      <c r="AR157" s="592"/>
      <c r="AS157" s="592"/>
      <c r="AT157" s="585" t="s">
        <v>479</v>
      </c>
      <c r="AU157" s="585" t="s">
        <v>479</v>
      </c>
      <c r="AV157" s="788" t="s">
        <v>480</v>
      </c>
      <c r="AY157" s="1">
        <v>222558546.06720001</v>
      </c>
      <c r="AZ157" s="1">
        <v>135287790</v>
      </c>
      <c r="BA157" s="1">
        <f>+AY157+AZ157</f>
        <v>357846336.06720001</v>
      </c>
      <c r="BB157" s="1">
        <f>+BA157/10</f>
        <v>35784633.606720001</v>
      </c>
    </row>
    <row r="158" spans="1:54" s="1" customFormat="1" ht="117" customHeight="1" thickBot="1">
      <c r="A158" s="904"/>
      <c r="B158" s="902"/>
      <c r="C158" s="907"/>
      <c r="D158" s="908"/>
      <c r="E158" s="115" t="s">
        <v>481</v>
      </c>
      <c r="F158" s="115" t="s">
        <v>93</v>
      </c>
      <c r="G158" s="115" t="s">
        <v>69</v>
      </c>
      <c r="H158" s="115">
        <v>86</v>
      </c>
      <c r="I158" s="908"/>
      <c r="J158" s="116" t="s">
        <v>482</v>
      </c>
      <c r="K158" s="116" t="s">
        <v>93</v>
      </c>
      <c r="L158" s="117">
        <v>50</v>
      </c>
      <c r="M158" s="117">
        <v>100</v>
      </c>
      <c r="N158" s="118"/>
      <c r="O158" s="117" t="s">
        <v>483</v>
      </c>
      <c r="P158" s="721" t="s">
        <v>484</v>
      </c>
      <c r="Q158" s="721" t="s">
        <v>485</v>
      </c>
      <c r="R158" s="357">
        <v>1</v>
      </c>
      <c r="S158" s="721">
        <v>0</v>
      </c>
      <c r="T158" s="721">
        <v>0</v>
      </c>
      <c r="U158" s="721">
        <v>0</v>
      </c>
      <c r="V158" s="357">
        <v>1</v>
      </c>
      <c r="W158" s="778"/>
      <c r="X158" s="770"/>
      <c r="Y158" s="785"/>
      <c r="Z158" s="785"/>
      <c r="AA158" s="703">
        <v>0</v>
      </c>
      <c r="AB158" s="587"/>
      <c r="AC158" s="587"/>
      <c r="AD158" s="587"/>
      <c r="AE158" s="588"/>
      <c r="AF158" s="588"/>
      <c r="AG158" s="588"/>
      <c r="AH158" s="592"/>
      <c r="AI158" s="592"/>
      <c r="AJ158" s="592"/>
      <c r="AK158" s="592" t="s">
        <v>486</v>
      </c>
      <c r="AL158" s="592" t="s">
        <v>486</v>
      </c>
      <c r="AM158" s="592"/>
      <c r="AN158" s="592" t="s">
        <v>487</v>
      </c>
      <c r="AO158" s="592" t="s">
        <v>488</v>
      </c>
      <c r="AP158" s="592"/>
      <c r="AQ158" s="592"/>
      <c r="AR158" s="592"/>
      <c r="AS158" s="592"/>
      <c r="AT158" s="585" t="s">
        <v>479</v>
      </c>
      <c r="AU158" s="585" t="s">
        <v>479</v>
      </c>
      <c r="AV158" s="789"/>
      <c r="BB158" s="1">
        <v>35784633.606720001</v>
      </c>
    </row>
    <row r="159" spans="1:54" s="1" customFormat="1" ht="111.75" customHeight="1" thickBot="1">
      <c r="A159" s="904"/>
      <c r="B159" s="902"/>
      <c r="C159" s="909" t="s">
        <v>489</v>
      </c>
      <c r="D159" s="810" t="s">
        <v>490</v>
      </c>
      <c r="E159" s="121" t="s">
        <v>491</v>
      </c>
      <c r="F159" s="115" t="s">
        <v>93</v>
      </c>
      <c r="G159" s="115" t="s">
        <v>69</v>
      </c>
      <c r="H159" s="121">
        <v>80</v>
      </c>
      <c r="I159" s="810" t="s">
        <v>492</v>
      </c>
      <c r="J159" s="116" t="s">
        <v>493</v>
      </c>
      <c r="K159" s="122" t="s">
        <v>93</v>
      </c>
      <c r="L159" s="123">
        <v>60</v>
      </c>
      <c r="M159" s="123">
        <v>85</v>
      </c>
      <c r="N159" s="124"/>
      <c r="O159" s="115" t="s">
        <v>494</v>
      </c>
      <c r="P159" s="721" t="s">
        <v>495</v>
      </c>
      <c r="Q159" s="721" t="s">
        <v>86</v>
      </c>
      <c r="R159" s="357">
        <v>1</v>
      </c>
      <c r="S159" s="721">
        <v>0</v>
      </c>
      <c r="T159" s="721">
        <v>0</v>
      </c>
      <c r="U159" s="721">
        <v>0</v>
      </c>
      <c r="V159" s="357">
        <v>1</v>
      </c>
      <c r="W159" s="778"/>
      <c r="X159" s="770"/>
      <c r="Y159" s="785"/>
      <c r="Z159" s="785"/>
      <c r="AA159" s="703">
        <v>0</v>
      </c>
      <c r="AB159" s="587"/>
      <c r="AC159" s="587"/>
      <c r="AD159" s="587"/>
      <c r="AE159" s="588"/>
      <c r="AF159" s="588"/>
      <c r="AG159" s="588"/>
      <c r="AH159" s="592"/>
      <c r="AI159" s="592"/>
      <c r="AJ159" s="592"/>
      <c r="AK159" s="592" t="s">
        <v>496</v>
      </c>
      <c r="AL159" s="592" t="s">
        <v>496</v>
      </c>
      <c r="AM159" s="592"/>
      <c r="AN159" s="592" t="s">
        <v>496</v>
      </c>
      <c r="AO159" s="592" t="s">
        <v>496</v>
      </c>
      <c r="AP159" s="592"/>
      <c r="AQ159" s="592"/>
      <c r="AR159" s="592"/>
      <c r="AS159" s="592"/>
      <c r="AT159" s="585" t="s">
        <v>479</v>
      </c>
      <c r="AU159" s="585" t="s">
        <v>479</v>
      </c>
      <c r="AV159" s="789"/>
    </row>
    <row r="160" spans="1:54" s="1" customFormat="1" ht="93" customHeight="1" thickBot="1">
      <c r="A160" s="904"/>
      <c r="B160" s="902"/>
      <c r="C160" s="904"/>
      <c r="D160" s="902"/>
      <c r="E160" s="121" t="s">
        <v>497</v>
      </c>
      <c r="F160" s="115" t="s">
        <v>93</v>
      </c>
      <c r="G160" s="115">
        <v>75</v>
      </c>
      <c r="H160" s="121">
        <v>80</v>
      </c>
      <c r="I160" s="902"/>
      <c r="J160" s="122" t="s">
        <v>498</v>
      </c>
      <c r="K160" s="122" t="s">
        <v>340</v>
      </c>
      <c r="L160" s="123">
        <v>1</v>
      </c>
      <c r="M160" s="123">
        <v>1</v>
      </c>
      <c r="N160" s="124"/>
      <c r="O160" s="123" t="s">
        <v>499</v>
      </c>
      <c r="P160" s="721" t="s">
        <v>500</v>
      </c>
      <c r="Q160" s="721" t="s">
        <v>72</v>
      </c>
      <c r="R160" s="357">
        <v>1</v>
      </c>
      <c r="S160" s="721">
        <v>0</v>
      </c>
      <c r="T160" s="721">
        <v>0</v>
      </c>
      <c r="U160" s="721">
        <v>1</v>
      </c>
      <c r="V160" s="357">
        <v>0</v>
      </c>
      <c r="W160" s="778"/>
      <c r="X160" s="770"/>
      <c r="Y160" s="785"/>
      <c r="Z160" s="785"/>
      <c r="AA160" s="703">
        <v>0</v>
      </c>
      <c r="AB160" s="587"/>
      <c r="AC160" s="587"/>
      <c r="AD160" s="547"/>
      <c r="AE160" s="588"/>
      <c r="AF160" s="588"/>
      <c r="AG160" s="588"/>
      <c r="AH160" s="592"/>
      <c r="AI160" s="592"/>
      <c r="AJ160" s="592"/>
      <c r="AK160" s="654" t="s">
        <v>501</v>
      </c>
      <c r="AL160" s="654" t="s">
        <v>501</v>
      </c>
      <c r="AM160" s="654"/>
      <c r="AN160" s="592" t="s">
        <v>502</v>
      </c>
      <c r="AO160" s="3" t="s">
        <v>503</v>
      </c>
      <c r="AP160" s="592"/>
      <c r="AQ160" s="592"/>
      <c r="AR160" s="592"/>
      <c r="AS160" s="592"/>
      <c r="AT160" s="585" t="s">
        <v>479</v>
      </c>
      <c r="AU160" s="585" t="s">
        <v>479</v>
      </c>
      <c r="AV160" s="789"/>
    </row>
    <row r="161" spans="1:48" s="1" customFormat="1" ht="120.75" customHeight="1" thickBot="1">
      <c r="A161" s="904"/>
      <c r="B161" s="902"/>
      <c r="C161" s="904"/>
      <c r="D161" s="902"/>
      <c r="E161" s="810" t="s">
        <v>504</v>
      </c>
      <c r="F161" s="810" t="s">
        <v>93</v>
      </c>
      <c r="G161" s="810">
        <v>75</v>
      </c>
      <c r="H161" s="810">
        <v>80</v>
      </c>
      <c r="I161" s="902"/>
      <c r="J161" s="122" t="s">
        <v>505</v>
      </c>
      <c r="K161" s="122" t="s">
        <v>93</v>
      </c>
      <c r="L161" s="123" t="s">
        <v>69</v>
      </c>
      <c r="M161" s="123">
        <v>95</v>
      </c>
      <c r="N161" s="124"/>
      <c r="O161" s="828" t="s">
        <v>506</v>
      </c>
      <c r="P161" s="721" t="s">
        <v>507</v>
      </c>
      <c r="Q161" s="721" t="s">
        <v>72</v>
      </c>
      <c r="R161" s="357">
        <v>4</v>
      </c>
      <c r="S161" s="721">
        <v>1</v>
      </c>
      <c r="T161" s="721">
        <v>1</v>
      </c>
      <c r="U161" s="721">
        <v>1</v>
      </c>
      <c r="V161" s="357">
        <v>1</v>
      </c>
      <c r="W161" s="778"/>
      <c r="X161" s="770"/>
      <c r="Y161" s="785"/>
      <c r="Z161" s="785"/>
      <c r="AA161" s="703">
        <v>1</v>
      </c>
      <c r="AB161" s="587"/>
      <c r="AC161" s="587"/>
      <c r="AD161" s="587"/>
      <c r="AE161" s="588"/>
      <c r="AF161" s="588"/>
      <c r="AG161" s="588"/>
      <c r="AH161" s="592"/>
      <c r="AI161" s="592"/>
      <c r="AJ161" s="592"/>
      <c r="AK161" s="595" t="s">
        <v>508</v>
      </c>
      <c r="AL161" s="595" t="s">
        <v>509</v>
      </c>
      <c r="AM161" s="595"/>
      <c r="AN161" s="595" t="s">
        <v>510</v>
      </c>
      <c r="AO161" s="595" t="s">
        <v>511</v>
      </c>
      <c r="AP161" s="592"/>
      <c r="AQ161" s="592"/>
      <c r="AR161" s="592"/>
      <c r="AS161" s="592"/>
      <c r="AT161" s="585" t="s">
        <v>479</v>
      </c>
      <c r="AU161" s="585" t="s">
        <v>479</v>
      </c>
      <c r="AV161" s="789"/>
    </row>
    <row r="162" spans="1:48" s="1" customFormat="1" ht="93" customHeight="1" thickBot="1">
      <c r="A162" s="904"/>
      <c r="B162" s="902"/>
      <c r="C162" s="904"/>
      <c r="D162" s="902"/>
      <c r="E162" s="902"/>
      <c r="F162" s="902"/>
      <c r="G162" s="902"/>
      <c r="H162" s="902"/>
      <c r="I162" s="902"/>
      <c r="J162" s="122" t="s">
        <v>512</v>
      </c>
      <c r="K162" s="122" t="s">
        <v>93</v>
      </c>
      <c r="L162" s="123" t="s">
        <v>69</v>
      </c>
      <c r="M162" s="123">
        <v>90</v>
      </c>
      <c r="N162" s="124"/>
      <c r="O162" s="829"/>
      <c r="P162" s="721" t="s">
        <v>513</v>
      </c>
      <c r="Q162" s="721" t="s">
        <v>72</v>
      </c>
      <c r="R162" s="357">
        <v>4</v>
      </c>
      <c r="S162" s="721">
        <v>1</v>
      </c>
      <c r="T162" s="721">
        <v>1</v>
      </c>
      <c r="U162" s="721">
        <v>1</v>
      </c>
      <c r="V162" s="357">
        <v>1</v>
      </c>
      <c r="W162" s="778"/>
      <c r="X162" s="770"/>
      <c r="Y162" s="785"/>
      <c r="Z162" s="785"/>
      <c r="AA162" s="703">
        <v>1</v>
      </c>
      <c r="AB162" s="587"/>
      <c r="AC162" s="587"/>
      <c r="AD162" s="587"/>
      <c r="AE162" s="588"/>
      <c r="AF162" s="588"/>
      <c r="AG162" s="588"/>
      <c r="AH162" s="592"/>
      <c r="AI162" s="592"/>
      <c r="AJ162" s="592"/>
      <c r="AK162" s="595" t="s">
        <v>514</v>
      </c>
      <c r="AL162" s="595" t="s">
        <v>515</v>
      </c>
      <c r="AM162" s="595"/>
      <c r="AN162" s="592" t="s">
        <v>516</v>
      </c>
      <c r="AO162" s="713" t="s">
        <v>517</v>
      </c>
      <c r="AP162" s="592"/>
      <c r="AQ162" s="592"/>
      <c r="AR162" s="592"/>
      <c r="AS162" s="592"/>
      <c r="AT162" s="585" t="s">
        <v>479</v>
      </c>
      <c r="AU162" s="585" t="s">
        <v>479</v>
      </c>
      <c r="AV162" s="789"/>
    </row>
    <row r="163" spans="1:48" s="1" customFormat="1" ht="93" customHeight="1" thickBot="1">
      <c r="A163" s="904"/>
      <c r="B163" s="902"/>
      <c r="C163" s="904"/>
      <c r="D163" s="902"/>
      <c r="E163" s="902"/>
      <c r="F163" s="902"/>
      <c r="G163" s="902"/>
      <c r="H163" s="902"/>
      <c r="I163" s="902"/>
      <c r="J163" s="122" t="s">
        <v>518</v>
      </c>
      <c r="K163" s="122" t="s">
        <v>93</v>
      </c>
      <c r="L163" s="123" t="s">
        <v>69</v>
      </c>
      <c r="M163" s="123">
        <v>90</v>
      </c>
      <c r="N163" s="124"/>
      <c r="O163" s="829"/>
      <c r="P163" s="721" t="s">
        <v>519</v>
      </c>
      <c r="Q163" s="721" t="s">
        <v>72</v>
      </c>
      <c r="R163" s="357">
        <v>4</v>
      </c>
      <c r="S163" s="721">
        <v>1</v>
      </c>
      <c r="T163" s="721">
        <v>1</v>
      </c>
      <c r="U163" s="721">
        <v>1</v>
      </c>
      <c r="V163" s="357">
        <v>1</v>
      </c>
      <c r="W163" s="778"/>
      <c r="X163" s="770"/>
      <c r="Y163" s="785"/>
      <c r="Z163" s="785"/>
      <c r="AA163" s="703">
        <v>1</v>
      </c>
      <c r="AB163" s="587"/>
      <c r="AC163" s="587"/>
      <c r="AD163" s="587"/>
      <c r="AE163" s="588"/>
      <c r="AF163" s="588"/>
      <c r="AG163" s="588"/>
      <c r="AH163" s="592"/>
      <c r="AI163" s="592"/>
      <c r="AJ163" s="592"/>
      <c r="AK163" s="592" t="s">
        <v>520</v>
      </c>
      <c r="AL163" s="592" t="s">
        <v>521</v>
      </c>
      <c r="AM163" s="592"/>
      <c r="AN163" s="592" t="s">
        <v>522</v>
      </c>
      <c r="AO163" s="592" t="s">
        <v>523</v>
      </c>
      <c r="AP163" s="592"/>
      <c r="AQ163" s="592"/>
      <c r="AR163" s="592"/>
      <c r="AS163" s="592"/>
      <c r="AT163" s="585" t="s">
        <v>479</v>
      </c>
      <c r="AU163" s="585" t="s">
        <v>479</v>
      </c>
      <c r="AV163" s="789"/>
    </row>
    <row r="164" spans="1:48" s="1" customFormat="1" ht="93" customHeight="1" thickBot="1">
      <c r="A164" s="904"/>
      <c r="B164" s="902"/>
      <c r="C164" s="904"/>
      <c r="D164" s="902"/>
      <c r="E164" s="902"/>
      <c r="F164" s="902"/>
      <c r="G164" s="902"/>
      <c r="H164" s="902"/>
      <c r="I164" s="902"/>
      <c r="J164" s="122" t="s">
        <v>524</v>
      </c>
      <c r="K164" s="122" t="s">
        <v>93</v>
      </c>
      <c r="L164" s="123" t="s">
        <v>69</v>
      </c>
      <c r="M164" s="123">
        <v>90</v>
      </c>
      <c r="N164" s="124"/>
      <c r="O164" s="829"/>
      <c r="P164" s="721" t="s">
        <v>525</v>
      </c>
      <c r="Q164" s="721" t="s">
        <v>72</v>
      </c>
      <c r="R164" s="357">
        <v>2</v>
      </c>
      <c r="S164" s="721">
        <v>0</v>
      </c>
      <c r="T164" s="721">
        <v>1</v>
      </c>
      <c r="U164" s="721">
        <v>0</v>
      </c>
      <c r="V164" s="357">
        <v>1</v>
      </c>
      <c r="W164" s="778"/>
      <c r="X164" s="770"/>
      <c r="Y164" s="785"/>
      <c r="Z164" s="785"/>
      <c r="AA164" s="703">
        <v>0</v>
      </c>
      <c r="AB164" s="587"/>
      <c r="AC164" s="587"/>
      <c r="AD164" s="587"/>
      <c r="AE164" s="588"/>
      <c r="AF164" s="588"/>
      <c r="AG164" s="588"/>
      <c r="AH164" s="592"/>
      <c r="AI164" s="592"/>
      <c r="AJ164" s="592"/>
      <c r="AK164" s="592" t="s">
        <v>526</v>
      </c>
      <c r="AL164" s="592" t="s">
        <v>527</v>
      </c>
      <c r="AM164" s="592"/>
      <c r="AN164" s="592" t="s">
        <v>528</v>
      </c>
      <c r="AO164" s="592" t="s">
        <v>529</v>
      </c>
      <c r="AP164" s="592"/>
      <c r="AQ164" s="592"/>
      <c r="AR164" s="592"/>
      <c r="AS164" s="592"/>
      <c r="AT164" s="585" t="s">
        <v>479</v>
      </c>
      <c r="AU164" s="585" t="s">
        <v>479</v>
      </c>
      <c r="AV164" s="789"/>
    </row>
    <row r="165" spans="1:48" s="1" customFormat="1" ht="136.5" customHeight="1" thickBot="1">
      <c r="A165" s="904"/>
      <c r="B165" s="902"/>
      <c r="C165" s="904"/>
      <c r="D165" s="902"/>
      <c r="E165" s="902"/>
      <c r="F165" s="902"/>
      <c r="G165" s="902"/>
      <c r="H165" s="902"/>
      <c r="I165" s="902"/>
      <c r="J165" s="122" t="s">
        <v>530</v>
      </c>
      <c r="K165" s="122" t="s">
        <v>93</v>
      </c>
      <c r="L165" s="123" t="s">
        <v>69</v>
      </c>
      <c r="M165" s="123">
        <v>90</v>
      </c>
      <c r="N165" s="124"/>
      <c r="O165" s="829"/>
      <c r="P165" s="721" t="s">
        <v>531</v>
      </c>
      <c r="Q165" s="721" t="s">
        <v>72</v>
      </c>
      <c r="R165" s="357">
        <v>4</v>
      </c>
      <c r="S165" s="721">
        <v>1</v>
      </c>
      <c r="T165" s="721">
        <v>1</v>
      </c>
      <c r="U165" s="721">
        <v>1</v>
      </c>
      <c r="V165" s="357">
        <v>1</v>
      </c>
      <c r="W165" s="778"/>
      <c r="X165" s="770"/>
      <c r="Y165" s="785"/>
      <c r="Z165" s="785"/>
      <c r="AA165" s="703">
        <v>1</v>
      </c>
      <c r="AB165" s="587"/>
      <c r="AC165" s="587"/>
      <c r="AD165" s="587"/>
      <c r="AE165" s="588"/>
      <c r="AF165" s="588"/>
      <c r="AG165" s="588"/>
      <c r="AH165" s="592"/>
      <c r="AI165" s="592"/>
      <c r="AJ165" s="592"/>
      <c r="AK165" s="595" t="s">
        <v>532</v>
      </c>
      <c r="AL165" s="595" t="s">
        <v>509</v>
      </c>
      <c r="AM165" s="595"/>
      <c r="AN165" s="595" t="s">
        <v>510</v>
      </c>
      <c r="AO165" s="595" t="s">
        <v>511</v>
      </c>
      <c r="AP165" s="592"/>
      <c r="AQ165" s="592"/>
      <c r="AR165" s="592"/>
      <c r="AS165" s="592"/>
      <c r="AT165" s="585" t="s">
        <v>479</v>
      </c>
      <c r="AU165" s="585" t="s">
        <v>479</v>
      </c>
      <c r="AV165" s="789"/>
    </row>
    <row r="166" spans="1:48" s="1" customFormat="1" ht="123" customHeight="1" thickBot="1">
      <c r="A166" s="904"/>
      <c r="B166" s="902"/>
      <c r="C166" s="904"/>
      <c r="D166" s="902"/>
      <c r="E166" s="902"/>
      <c r="F166" s="902"/>
      <c r="G166" s="902"/>
      <c r="H166" s="902"/>
      <c r="I166" s="902"/>
      <c r="J166" s="122" t="s">
        <v>533</v>
      </c>
      <c r="K166" s="122" t="s">
        <v>93</v>
      </c>
      <c r="L166" s="123" t="s">
        <v>69</v>
      </c>
      <c r="M166" s="123">
        <v>90</v>
      </c>
      <c r="N166" s="124"/>
      <c r="O166" s="829"/>
      <c r="P166" s="721" t="s">
        <v>507</v>
      </c>
      <c r="Q166" s="721" t="s">
        <v>72</v>
      </c>
      <c r="R166" s="357">
        <v>4</v>
      </c>
      <c r="S166" s="721">
        <v>1</v>
      </c>
      <c r="T166" s="721">
        <v>1</v>
      </c>
      <c r="U166" s="721">
        <v>1</v>
      </c>
      <c r="V166" s="357">
        <v>1</v>
      </c>
      <c r="W166" s="778"/>
      <c r="X166" s="770"/>
      <c r="Y166" s="785"/>
      <c r="Z166" s="785"/>
      <c r="AA166" s="703"/>
      <c r="AB166" s="587"/>
      <c r="AC166" s="587"/>
      <c r="AD166" s="587"/>
      <c r="AE166" s="588"/>
      <c r="AF166" s="588"/>
      <c r="AG166" s="588"/>
      <c r="AH166" s="592"/>
      <c r="AI166" s="592"/>
      <c r="AJ166" s="592"/>
      <c r="AK166" s="592" t="s">
        <v>534</v>
      </c>
      <c r="AL166" s="592" t="s">
        <v>535</v>
      </c>
      <c r="AM166" s="592"/>
      <c r="AN166" s="592" t="s">
        <v>536</v>
      </c>
      <c r="AO166" s="592" t="s">
        <v>537</v>
      </c>
      <c r="AP166" s="592"/>
      <c r="AQ166" s="592"/>
      <c r="AR166" s="592"/>
      <c r="AS166" s="592"/>
      <c r="AT166" s="585" t="s">
        <v>479</v>
      </c>
      <c r="AU166" s="585" t="s">
        <v>479</v>
      </c>
      <c r="AV166" s="789"/>
    </row>
    <row r="167" spans="1:48" s="1" customFormat="1" ht="129.75" customHeight="1" thickBot="1">
      <c r="A167" s="904"/>
      <c r="B167" s="902"/>
      <c r="C167" s="907"/>
      <c r="D167" s="908"/>
      <c r="E167" s="908"/>
      <c r="F167" s="908"/>
      <c r="G167" s="908"/>
      <c r="H167" s="908"/>
      <c r="I167" s="908"/>
      <c r="J167" s="122" t="s">
        <v>538</v>
      </c>
      <c r="K167" s="122" t="s">
        <v>93</v>
      </c>
      <c r="L167" s="123" t="s">
        <v>69</v>
      </c>
      <c r="M167" s="123">
        <v>90</v>
      </c>
      <c r="N167" s="124"/>
      <c r="O167" s="831"/>
      <c r="P167" s="721" t="s">
        <v>539</v>
      </c>
      <c r="Q167" s="721" t="s">
        <v>72</v>
      </c>
      <c r="R167" s="721">
        <v>2</v>
      </c>
      <c r="S167" s="721">
        <v>0</v>
      </c>
      <c r="T167" s="721">
        <v>1</v>
      </c>
      <c r="U167" s="721">
        <v>0</v>
      </c>
      <c r="V167" s="721">
        <v>1</v>
      </c>
      <c r="W167" s="778"/>
      <c r="X167" s="770"/>
      <c r="Y167" s="785"/>
      <c r="Z167" s="785"/>
      <c r="AA167" s="703">
        <v>0</v>
      </c>
      <c r="AB167" s="587"/>
      <c r="AC167" s="587"/>
      <c r="AD167" s="547"/>
      <c r="AE167" s="588"/>
      <c r="AF167" s="588"/>
      <c r="AG167" s="588"/>
      <c r="AH167" s="592"/>
      <c r="AI167" s="592"/>
      <c r="AJ167" s="592"/>
      <c r="AK167" s="654" t="s">
        <v>540</v>
      </c>
      <c r="AL167" s="654" t="s">
        <v>541</v>
      </c>
      <c r="AM167" s="654"/>
      <c r="AN167" s="654" t="s">
        <v>542</v>
      </c>
      <c r="AO167" s="654" t="s">
        <v>543</v>
      </c>
      <c r="AP167" s="592"/>
      <c r="AQ167" s="592"/>
      <c r="AR167" s="592"/>
      <c r="AS167" s="592"/>
      <c r="AT167" s="585" t="s">
        <v>479</v>
      </c>
      <c r="AU167" s="585" t="s">
        <v>479</v>
      </c>
      <c r="AV167" s="789"/>
    </row>
    <row r="168" spans="1:48" s="1" customFormat="1" ht="86.25" customHeight="1" thickBot="1">
      <c r="A168" s="904"/>
      <c r="B168" s="902"/>
      <c r="C168" s="810" t="s">
        <v>544</v>
      </c>
      <c r="D168" s="810" t="s">
        <v>545</v>
      </c>
      <c r="E168" s="121" t="s">
        <v>546</v>
      </c>
      <c r="F168" s="121" t="s">
        <v>133</v>
      </c>
      <c r="G168" s="122" t="s">
        <v>69</v>
      </c>
      <c r="H168" s="121" t="s">
        <v>547</v>
      </c>
      <c r="I168" s="810" t="s">
        <v>548</v>
      </c>
      <c r="J168" s="122" t="s">
        <v>549</v>
      </c>
      <c r="K168" s="122" t="s">
        <v>93</v>
      </c>
      <c r="L168" s="123">
        <v>80</v>
      </c>
      <c r="M168" s="123">
        <v>90</v>
      </c>
      <c r="N168" s="124"/>
      <c r="O168" s="828" t="s">
        <v>550</v>
      </c>
      <c r="P168" s="721" t="s">
        <v>551</v>
      </c>
      <c r="Q168" s="721" t="s">
        <v>72</v>
      </c>
      <c r="R168" s="721">
        <v>2</v>
      </c>
      <c r="S168" s="721">
        <v>0</v>
      </c>
      <c r="T168" s="721">
        <v>1</v>
      </c>
      <c r="U168" s="721">
        <v>0</v>
      </c>
      <c r="V168" s="721">
        <v>1</v>
      </c>
      <c r="W168" s="778"/>
      <c r="X168" s="770"/>
      <c r="Y168" s="785"/>
      <c r="Z168" s="785"/>
      <c r="AA168" s="703">
        <v>0</v>
      </c>
      <c r="AB168" s="587"/>
      <c r="AC168" s="587"/>
      <c r="AD168" s="547"/>
      <c r="AE168" s="588"/>
      <c r="AF168" s="588"/>
      <c r="AG168" s="588"/>
      <c r="AH168" s="592"/>
      <c r="AI168" s="592"/>
      <c r="AJ168" s="592"/>
      <c r="AK168" s="654" t="s">
        <v>552</v>
      </c>
      <c r="AL168" s="592" t="s">
        <v>553</v>
      </c>
      <c r="AM168" s="592"/>
      <c r="AN168" s="592" t="s">
        <v>554</v>
      </c>
      <c r="AO168" s="592" t="s">
        <v>555</v>
      </c>
      <c r="AP168" s="592"/>
      <c r="AQ168" s="592"/>
      <c r="AR168" s="592"/>
      <c r="AS168" s="592"/>
      <c r="AT168" s="585" t="s">
        <v>479</v>
      </c>
      <c r="AU168" s="585" t="s">
        <v>479</v>
      </c>
      <c r="AV168" s="789"/>
    </row>
    <row r="169" spans="1:48" s="1" customFormat="1" ht="69.75" customHeight="1" thickBot="1">
      <c r="A169" s="904"/>
      <c r="B169" s="902"/>
      <c r="C169" s="902"/>
      <c r="D169" s="902"/>
      <c r="E169" s="810" t="s">
        <v>556</v>
      </c>
      <c r="F169" s="810" t="s">
        <v>93</v>
      </c>
      <c r="G169" s="810" t="s">
        <v>69</v>
      </c>
      <c r="H169" s="810">
        <v>90</v>
      </c>
      <c r="I169" s="902"/>
      <c r="J169" s="122" t="s">
        <v>557</v>
      </c>
      <c r="K169" s="122" t="s">
        <v>93</v>
      </c>
      <c r="L169" s="123">
        <v>25</v>
      </c>
      <c r="M169" s="123">
        <v>10</v>
      </c>
      <c r="N169" s="124"/>
      <c r="O169" s="829"/>
      <c r="P169" s="721" t="s">
        <v>558</v>
      </c>
      <c r="Q169" s="721" t="s">
        <v>72</v>
      </c>
      <c r="R169" s="721">
        <v>2</v>
      </c>
      <c r="S169" s="721">
        <v>0</v>
      </c>
      <c r="T169" s="721">
        <v>1</v>
      </c>
      <c r="U169" s="721">
        <v>0</v>
      </c>
      <c r="V169" s="721">
        <v>1</v>
      </c>
      <c r="W169" s="778"/>
      <c r="X169" s="770"/>
      <c r="Y169" s="785"/>
      <c r="Z169" s="785"/>
      <c r="AA169" s="703">
        <v>0</v>
      </c>
      <c r="AB169" s="587"/>
      <c r="AC169" s="587"/>
      <c r="AD169" s="587"/>
      <c r="AE169" s="588"/>
      <c r="AF169" s="588"/>
      <c r="AG169" s="588"/>
      <c r="AH169" s="592"/>
      <c r="AI169" s="592"/>
      <c r="AJ169" s="592"/>
      <c r="AK169" s="654" t="s">
        <v>559</v>
      </c>
      <c r="AL169" s="654" t="s">
        <v>560</v>
      </c>
      <c r="AM169" s="654"/>
      <c r="AN169" s="654" t="s">
        <v>561</v>
      </c>
      <c r="AO169" s="654" t="s">
        <v>561</v>
      </c>
      <c r="AP169" s="592"/>
      <c r="AQ169" s="592"/>
      <c r="AR169" s="592"/>
      <c r="AS169" s="592"/>
      <c r="AT169" s="585" t="s">
        <v>479</v>
      </c>
      <c r="AU169" s="585" t="s">
        <v>479</v>
      </c>
      <c r="AV169" s="789"/>
    </row>
    <row r="170" spans="1:48" s="1" customFormat="1" ht="51.75" customHeight="1" thickBot="1">
      <c r="A170" s="905"/>
      <c r="B170" s="811"/>
      <c r="C170" s="811"/>
      <c r="D170" s="811"/>
      <c r="E170" s="811"/>
      <c r="F170" s="811"/>
      <c r="G170" s="811"/>
      <c r="H170" s="811"/>
      <c r="I170" s="811"/>
      <c r="J170" s="127" t="s">
        <v>562</v>
      </c>
      <c r="K170" s="127" t="s">
        <v>72</v>
      </c>
      <c r="L170" s="128" t="s">
        <v>69</v>
      </c>
      <c r="M170" s="128">
        <v>1</v>
      </c>
      <c r="N170" s="129"/>
      <c r="O170" s="830"/>
      <c r="P170" s="721" t="s">
        <v>563</v>
      </c>
      <c r="Q170" s="721" t="s">
        <v>72</v>
      </c>
      <c r="R170" s="721">
        <v>1</v>
      </c>
      <c r="S170" s="721">
        <v>0</v>
      </c>
      <c r="T170" s="721">
        <v>1</v>
      </c>
      <c r="U170" s="721">
        <v>0</v>
      </c>
      <c r="V170" s="721">
        <v>1</v>
      </c>
      <c r="W170" s="782"/>
      <c r="X170" s="771"/>
      <c r="Y170" s="787"/>
      <c r="Z170" s="787"/>
      <c r="AA170" s="703">
        <v>0</v>
      </c>
      <c r="AB170" s="587"/>
      <c r="AC170" s="587"/>
      <c r="AD170" s="705"/>
      <c r="AE170" s="588"/>
      <c r="AF170" s="588"/>
      <c r="AG170" s="588"/>
      <c r="AH170" s="592"/>
      <c r="AI170" s="592"/>
      <c r="AJ170" s="592"/>
      <c r="AK170" s="592" t="s">
        <v>564</v>
      </c>
      <c r="AL170" s="592" t="s">
        <v>564</v>
      </c>
      <c r="AM170" s="592"/>
      <c r="AN170" s="592" t="s">
        <v>565</v>
      </c>
      <c r="AO170" s="592" t="s">
        <v>565</v>
      </c>
      <c r="AP170" s="592"/>
      <c r="AQ170" s="592"/>
      <c r="AR170" s="592"/>
      <c r="AS170" s="592"/>
      <c r="AT170" s="585" t="s">
        <v>479</v>
      </c>
      <c r="AU170" s="585" t="s">
        <v>479</v>
      </c>
      <c r="AV170" s="790"/>
    </row>
    <row r="171" spans="1:48" s="9" customFormat="1" ht="42" customHeight="1" thickBot="1">
      <c r="A171" s="319"/>
      <c r="B171" s="319"/>
      <c r="C171" s="319"/>
      <c r="D171" s="319"/>
      <c r="E171" s="319"/>
      <c r="F171" s="319"/>
      <c r="G171" s="319"/>
      <c r="H171" s="319"/>
      <c r="I171" s="319"/>
      <c r="J171" s="319"/>
      <c r="K171" s="319"/>
      <c r="L171" s="319"/>
      <c r="M171" s="319"/>
      <c r="N171" s="319"/>
      <c r="O171" s="319"/>
      <c r="P171" s="603"/>
      <c r="Q171" s="604">
        <f>SUBTOTAL(9,Q8:Q170)</f>
        <v>0</v>
      </c>
      <c r="R171" s="604"/>
      <c r="S171" s="604">
        <f>SUBTOTAL(9,S8:S170)</f>
        <v>3005</v>
      </c>
      <c r="T171" s="604">
        <f>SUBTOTAL(9,T8:T170)</f>
        <v>3033</v>
      </c>
      <c r="U171" s="604">
        <f>SUBTOTAL(9,U8:U170)</f>
        <v>3040</v>
      </c>
      <c r="V171" s="604">
        <f>SUBTOTAL(9,V8:V170)</f>
        <v>3047</v>
      </c>
      <c r="W171" s="597"/>
      <c r="X171" s="598"/>
      <c r="Y171" s="599">
        <f>Y157+Y146+Y144+Y141+Y132+Y126+Y123+Y118+Y109+Y108+Y101+Y72+Y56+Y19+Y15+Y12+Y8</f>
        <v>187399993390.91095</v>
      </c>
      <c r="Z171" s="599">
        <f>SUM(Z8:Z170)</f>
        <v>187399993390.91092</v>
      </c>
      <c r="AA171" s="741">
        <f>SUBTOTAL(9,AA8:AA170)</f>
        <v>498</v>
      </c>
      <c r="AB171" s="596">
        <f>SUBTOTAL(9,AB8:AB170)</f>
        <v>0</v>
      </c>
      <c r="AC171" s="596">
        <f>SUBTOTAL(9,AC8:AC170)</f>
        <v>0</v>
      </c>
      <c r="AD171" s="596">
        <f>SUBTOTAL(9,AD8:AD170)</f>
        <v>0</v>
      </c>
      <c r="AE171" s="599">
        <f>SUM(AE8:AE170)</f>
        <v>0</v>
      </c>
      <c r="AF171" s="600"/>
      <c r="AG171" s="600"/>
      <c r="AH171" s="601"/>
      <c r="AI171" s="601"/>
      <c r="AJ171" s="601"/>
      <c r="AK171" s="601"/>
      <c r="AL171" s="601"/>
      <c r="AM171" s="601"/>
      <c r="AN171" s="601"/>
      <c r="AO171" s="601"/>
      <c r="AP171" s="601"/>
      <c r="AQ171" s="601"/>
      <c r="AR171" s="601"/>
      <c r="AS171" s="601"/>
      <c r="AT171" s="818"/>
      <c r="AU171" s="819"/>
      <c r="AV171" s="135"/>
    </row>
    <row r="172" spans="1:48" s="1" customFormat="1">
      <c r="A172" s="9"/>
      <c r="B172" s="3"/>
      <c r="C172" s="3"/>
      <c r="D172" s="3"/>
      <c r="E172" s="3"/>
      <c r="F172" s="3"/>
      <c r="G172" s="3"/>
      <c r="H172" s="3"/>
      <c r="I172" s="3"/>
      <c r="J172" s="3"/>
      <c r="K172" s="3"/>
      <c r="P172" s="5"/>
      <c r="Q172" s="3"/>
      <c r="R172" s="3"/>
      <c r="S172" s="3"/>
      <c r="T172" s="3"/>
      <c r="U172" s="3"/>
      <c r="V172" s="3"/>
      <c r="W172" s="3"/>
      <c r="X172" s="3"/>
      <c r="Y172" s="7"/>
      <c r="Z172" s="8"/>
      <c r="AA172" s="8"/>
      <c r="AB172" s="8"/>
      <c r="AC172" s="8"/>
      <c r="AD172" s="8"/>
      <c r="AE172" s="8"/>
      <c r="AF172" s="8"/>
      <c r="AG172" s="8"/>
      <c r="AH172" s="8"/>
      <c r="AI172" s="8"/>
      <c r="AJ172" s="8"/>
      <c r="AK172" s="8"/>
      <c r="AL172" s="8"/>
      <c r="AM172" s="8"/>
      <c r="AN172" s="8"/>
      <c r="AO172" s="8"/>
      <c r="AP172" s="8"/>
      <c r="AQ172" s="8"/>
      <c r="AR172" s="8"/>
      <c r="AS172" s="8"/>
      <c r="AT172" s="3"/>
      <c r="AU172" s="3"/>
    </row>
    <row r="173" spans="1:48" s="1" customFormat="1" hidden="1">
      <c r="A173" s="9"/>
      <c r="B173" s="3"/>
      <c r="C173" s="3"/>
      <c r="D173" s="3"/>
      <c r="E173" s="3"/>
      <c r="F173" s="3"/>
      <c r="G173" s="3"/>
      <c r="H173" s="3"/>
      <c r="I173" s="3"/>
      <c r="J173" s="3"/>
      <c r="K173" s="3"/>
      <c r="P173" s="5"/>
      <c r="Q173" s="3"/>
      <c r="R173" s="3"/>
      <c r="S173" s="3"/>
      <c r="T173" s="3"/>
      <c r="U173" s="3"/>
      <c r="V173" s="3"/>
      <c r="X173" s="3"/>
      <c r="Y173" s="3"/>
      <c r="Z173" s="8"/>
      <c r="AA173" s="8"/>
      <c r="AB173" s="8"/>
      <c r="AC173" s="8"/>
      <c r="AD173" s="8"/>
      <c r="AE173" s="8"/>
      <c r="AF173" s="8"/>
      <c r="AG173" s="8"/>
      <c r="AH173" s="8"/>
      <c r="AI173" s="8"/>
      <c r="AJ173" s="8"/>
      <c r="AK173" s="8"/>
      <c r="AL173" s="8"/>
      <c r="AM173" s="8"/>
      <c r="AN173" s="8"/>
      <c r="AO173" s="8"/>
      <c r="AP173" s="8"/>
      <c r="AQ173" s="8"/>
      <c r="AR173" s="8"/>
      <c r="AS173" s="8"/>
      <c r="AT173" s="3"/>
      <c r="AU173" s="3"/>
    </row>
    <row r="174" spans="1:48" s="1" customFormat="1" hidden="1">
      <c r="A174" s="9"/>
      <c r="B174" s="3"/>
      <c r="C174" s="3"/>
      <c r="D174" s="3"/>
      <c r="E174" s="3"/>
      <c r="F174" s="3"/>
      <c r="G174" s="3"/>
      <c r="H174" s="3"/>
      <c r="I174" s="3"/>
      <c r="J174" s="3"/>
      <c r="K174" s="3"/>
      <c r="Y174" s="3"/>
      <c r="Z174" s="11"/>
      <c r="AA174" s="11"/>
      <c r="AB174" s="11"/>
      <c r="AC174" s="11"/>
      <c r="AD174" s="11"/>
      <c r="AE174" s="11"/>
      <c r="AF174" s="11"/>
      <c r="AG174" s="11"/>
      <c r="AH174" s="11"/>
      <c r="AI174" s="11"/>
      <c r="AJ174" s="11"/>
      <c r="AK174" s="11"/>
      <c r="AL174" s="11"/>
      <c r="AM174" s="11"/>
      <c r="AN174" s="11"/>
      <c r="AO174" s="11"/>
      <c r="AP174" s="11"/>
      <c r="AQ174" s="11"/>
      <c r="AR174" s="11"/>
      <c r="AS174" s="11"/>
      <c r="AT174" s="3"/>
      <c r="AU174" s="3"/>
    </row>
    <row r="175" spans="1:48" s="1" customFormat="1" hidden="1">
      <c r="A175" s="9"/>
      <c r="B175" s="3"/>
      <c r="C175" s="3"/>
      <c r="D175" s="3"/>
      <c r="E175" s="3"/>
      <c r="F175" s="3"/>
      <c r="G175" s="3"/>
      <c r="H175" s="3"/>
      <c r="I175" s="3"/>
      <c r="J175" s="3"/>
      <c r="K175" s="3"/>
      <c r="Y175" s="3"/>
      <c r="Z175" s="7"/>
      <c r="AA175" s="7"/>
      <c r="AB175" s="7"/>
      <c r="AC175" s="7"/>
      <c r="AD175" s="7"/>
      <c r="AE175" s="7"/>
      <c r="AF175" s="7"/>
      <c r="AG175" s="7"/>
      <c r="AH175" s="7"/>
      <c r="AI175" s="7"/>
      <c r="AJ175" s="7"/>
      <c r="AK175" s="7"/>
      <c r="AL175" s="7"/>
      <c r="AM175" s="7"/>
      <c r="AN175" s="7"/>
      <c r="AO175" s="7"/>
      <c r="AP175" s="7"/>
      <c r="AQ175" s="7"/>
      <c r="AR175" s="7"/>
      <c r="AS175" s="7"/>
      <c r="AT175" s="3"/>
      <c r="AU175" s="3"/>
    </row>
    <row r="176" spans="1:48" s="1" customFormat="1" ht="28.5" hidden="1" customHeight="1">
      <c r="A176" s="9"/>
      <c r="B176" s="3"/>
      <c r="C176" s="3"/>
      <c r="D176" s="3"/>
      <c r="E176" s="3"/>
      <c r="F176" s="3"/>
      <c r="G176" s="3"/>
      <c r="H176" s="3"/>
      <c r="I176" s="3"/>
      <c r="J176" s="3"/>
      <c r="K176" s="3"/>
      <c r="P176" s="214"/>
      <c r="Q176" s="917" t="s">
        <v>566</v>
      </c>
      <c r="R176" s="917"/>
      <c r="S176" s="337"/>
      <c r="T176" s="337"/>
      <c r="U176" s="338"/>
      <c r="Y176" s="3"/>
      <c r="Z176" s="7">
        <f>+Z180-Z171</f>
        <v>-33189159793.92572</v>
      </c>
      <c r="AA176" s="7"/>
      <c r="AB176" s="7"/>
      <c r="AC176" s="7"/>
      <c r="AD176" s="7"/>
      <c r="AE176" s="7"/>
      <c r="AF176" s="7"/>
      <c r="AG176" s="7"/>
      <c r="AH176" s="7"/>
      <c r="AI176" s="7"/>
      <c r="AJ176" s="7"/>
      <c r="AK176" s="7"/>
      <c r="AL176" s="7"/>
      <c r="AM176" s="7"/>
      <c r="AN176" s="7"/>
      <c r="AO176" s="7"/>
      <c r="AP176" s="7"/>
      <c r="AQ176" s="7"/>
      <c r="AR176" s="7"/>
      <c r="AS176" s="7"/>
      <c r="AT176" s="3"/>
      <c r="AU176" s="3"/>
    </row>
    <row r="177" spans="1:48" s="1" customFormat="1" ht="28.5" hidden="1">
      <c r="A177" s="9"/>
      <c r="B177" s="3"/>
      <c r="C177" s="3"/>
      <c r="D177" s="3"/>
      <c r="E177" s="3"/>
      <c r="F177" s="3"/>
      <c r="G177" s="3"/>
      <c r="H177" s="3"/>
      <c r="I177" s="3"/>
      <c r="J177" s="3"/>
      <c r="K177" s="3"/>
      <c r="P177" s="214" t="s">
        <v>567</v>
      </c>
      <c r="Q177" s="213" t="s">
        <v>568</v>
      </c>
      <c r="R177" s="213" t="s">
        <v>569</v>
      </c>
      <c r="U177" s="214" t="s">
        <v>567</v>
      </c>
      <c r="Y177" s="3"/>
      <c r="Z177" s="7"/>
      <c r="AA177" s="7"/>
      <c r="AB177" s="7"/>
      <c r="AD177" s="7"/>
      <c r="AE177" s="7"/>
      <c r="AF177" s="7"/>
      <c r="AG177" s="7"/>
      <c r="AH177" s="7"/>
      <c r="AI177" s="7"/>
      <c r="AJ177" s="7"/>
      <c r="AK177" s="7"/>
      <c r="AL177" s="7"/>
      <c r="AM177" s="7"/>
      <c r="AN177" s="7"/>
      <c r="AO177" s="7"/>
      <c r="AP177" s="7"/>
      <c r="AQ177" s="7"/>
      <c r="AR177" s="7"/>
      <c r="AS177" s="7"/>
      <c r="AT177" s="3"/>
      <c r="AU177" s="3"/>
    </row>
    <row r="178" spans="1:48" s="1" customFormat="1" hidden="1">
      <c r="A178" s="9"/>
      <c r="B178" s="3"/>
      <c r="C178" s="3"/>
      <c r="D178" s="3"/>
      <c r="E178" s="3"/>
      <c r="F178" s="3"/>
      <c r="G178" s="3"/>
      <c r="H178" s="3"/>
      <c r="I178" s="3"/>
      <c r="J178" s="3"/>
      <c r="K178" s="3"/>
      <c r="P178" s="214"/>
      <c r="Q178" s="214"/>
      <c r="R178" s="214"/>
      <c r="U178" s="214"/>
      <c r="Y178" s="13"/>
      <c r="Z178" s="7"/>
      <c r="AA178" s="7"/>
      <c r="AB178" s="7"/>
      <c r="AC178" s="7"/>
      <c r="AD178" s="7"/>
      <c r="AE178" s="7"/>
      <c r="AF178" s="7"/>
      <c r="AG178" s="7"/>
      <c r="AH178" s="7"/>
      <c r="AI178" s="7"/>
      <c r="AJ178" s="7"/>
      <c r="AK178" s="7"/>
      <c r="AL178" s="7"/>
      <c r="AM178" s="7"/>
      <c r="AN178" s="7"/>
      <c r="AO178" s="7"/>
      <c r="AP178" s="7"/>
      <c r="AQ178" s="7"/>
      <c r="AR178" s="7"/>
      <c r="AS178" s="7"/>
      <c r="AT178" s="3"/>
      <c r="AU178" s="3"/>
    </row>
    <row r="179" spans="1:48" s="1" customFormat="1" hidden="1">
      <c r="A179" s="9"/>
      <c r="B179" s="3"/>
      <c r="C179" s="3"/>
      <c r="D179" s="3"/>
      <c r="E179" s="3"/>
      <c r="F179" s="3"/>
      <c r="G179" s="3"/>
      <c r="H179" s="3"/>
      <c r="I179" s="3"/>
      <c r="J179" s="3"/>
      <c r="K179" s="3"/>
      <c r="Y179" s="3"/>
      <c r="Z179" s="7"/>
      <c r="AA179" s="7"/>
      <c r="AB179" s="7"/>
      <c r="AC179" s="7"/>
      <c r="AD179" s="7"/>
      <c r="AE179" s="7"/>
      <c r="AF179" s="7"/>
      <c r="AG179" s="7"/>
      <c r="AH179" s="7"/>
      <c r="AI179" s="7"/>
      <c r="AJ179" s="7"/>
      <c r="AK179" s="7"/>
      <c r="AL179" s="7"/>
      <c r="AM179" s="7"/>
      <c r="AN179" s="7"/>
      <c r="AO179" s="7"/>
      <c r="AP179" s="7"/>
      <c r="AQ179" s="7"/>
      <c r="AR179" s="7"/>
      <c r="AS179" s="7"/>
      <c r="AT179" s="3"/>
      <c r="AU179" s="3"/>
    </row>
    <row r="180" spans="1:48" s="1" customFormat="1" ht="23.25" hidden="1">
      <c r="A180" s="9"/>
      <c r="B180" s="3"/>
      <c r="C180" s="3"/>
      <c r="D180" s="3"/>
      <c r="E180" s="3"/>
      <c r="F180" s="3"/>
      <c r="G180" s="3"/>
      <c r="H180" s="3"/>
      <c r="I180" s="3"/>
      <c r="J180" s="3"/>
      <c r="K180" s="3"/>
      <c r="Y180" s="3"/>
      <c r="Z180" s="12">
        <v>154210833596.9852</v>
      </c>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13">
        <f>Z180-Z171</f>
        <v>-33189159793.92572</v>
      </c>
      <c r="AV180" s="3"/>
    </row>
    <row r="181" spans="1:48" s="1" customFormat="1" ht="16.5" hidden="1" thickBot="1">
      <c r="A181" s="9"/>
      <c r="B181" s="3"/>
      <c r="C181" s="3"/>
      <c r="D181" s="3"/>
      <c r="E181" s="3"/>
      <c r="F181" s="3"/>
      <c r="G181" s="3"/>
      <c r="H181" s="3"/>
      <c r="I181" s="3"/>
      <c r="J181" s="3"/>
      <c r="K181" s="3"/>
      <c r="P181" s="910">
        <f>O181</f>
        <v>0</v>
      </c>
      <c r="Y181" s="3"/>
      <c r="Z181" s="7"/>
      <c r="AA181" s="7"/>
      <c r="AB181" s="7"/>
      <c r="AC181" s="7"/>
      <c r="AD181" s="7"/>
      <c r="AE181" s="7"/>
      <c r="AF181" s="7"/>
      <c r="AG181" s="7"/>
      <c r="AH181" s="7"/>
      <c r="AI181" s="7"/>
      <c r="AJ181" s="7"/>
      <c r="AK181" s="7"/>
      <c r="AL181" s="7"/>
      <c r="AM181" s="7"/>
      <c r="AN181" s="7"/>
      <c r="AO181" s="7"/>
      <c r="AP181" s="7"/>
      <c r="AQ181" s="7"/>
      <c r="AR181" s="7"/>
      <c r="AS181" s="7"/>
      <c r="AT181" s="7"/>
      <c r="AU181" s="3"/>
      <c r="AV181" s="3"/>
    </row>
    <row r="182" spans="1:48" s="1" customFormat="1" ht="90" hidden="1">
      <c r="A182" s="9"/>
      <c r="B182" s="3"/>
      <c r="C182" s="3"/>
      <c r="D182" s="3"/>
      <c r="E182" s="3"/>
      <c r="F182" s="3"/>
      <c r="G182" s="3"/>
      <c r="H182" s="3"/>
      <c r="I182" s="3"/>
      <c r="J182" s="3"/>
      <c r="K182" s="3"/>
      <c r="P182" s="911"/>
      <c r="V182" s="508" t="s">
        <v>570</v>
      </c>
      <c r="W182" s="509"/>
      <c r="X182" s="509"/>
      <c r="Y182" s="510"/>
      <c r="Z182" s="511" t="s">
        <v>571</v>
      </c>
      <c r="AA182" s="511" t="s">
        <v>572</v>
      </c>
      <c r="AB182" s="508" t="s">
        <v>573</v>
      </c>
      <c r="AC182" s="508" t="s">
        <v>574</v>
      </c>
      <c r="AD182" s="508" t="s">
        <v>575</v>
      </c>
      <c r="AE182" s="508" t="s">
        <v>573</v>
      </c>
      <c r="AF182" s="512" t="s">
        <v>576</v>
      </c>
      <c r="AG182" s="512" t="s">
        <v>577</v>
      </c>
      <c r="AH182" s="512" t="s">
        <v>578</v>
      </c>
      <c r="AI182" s="512" t="s">
        <v>579</v>
      </c>
      <c r="AJ182" s="508" t="s">
        <v>573</v>
      </c>
      <c r="AK182" s="508" t="s">
        <v>580</v>
      </c>
      <c r="AL182" s="7"/>
      <c r="AM182" s="7"/>
      <c r="AN182" s="7"/>
      <c r="AO182" s="7"/>
      <c r="AP182" s="7"/>
      <c r="AQ182" s="7"/>
      <c r="AR182" s="7"/>
      <c r="AS182" s="7"/>
      <c r="AT182" s="7"/>
      <c r="AU182" s="3"/>
      <c r="AV182" s="3"/>
    </row>
    <row r="183" spans="1:48" s="1" customFormat="1" ht="18" hidden="1">
      <c r="A183" s="9"/>
      <c r="B183" s="3"/>
      <c r="C183" s="3"/>
      <c r="D183" s="3"/>
      <c r="E183" s="3"/>
      <c r="F183" s="3"/>
      <c r="G183" s="3"/>
      <c r="H183" s="3"/>
      <c r="I183" s="3"/>
      <c r="J183" s="3"/>
      <c r="K183" s="3"/>
      <c r="P183" s="911"/>
      <c r="Q183" s="3"/>
      <c r="R183" s="3"/>
      <c r="S183" s="3"/>
      <c r="T183" s="3"/>
      <c r="U183" s="3"/>
      <c r="V183" s="213" t="s">
        <v>581</v>
      </c>
      <c r="W183" s="213"/>
      <c r="X183" s="214"/>
      <c r="Y183" s="345"/>
      <c r="Z183" s="345"/>
      <c r="AA183" s="506">
        <v>0</v>
      </c>
      <c r="AB183" s="506">
        <v>0</v>
      </c>
      <c r="AC183" s="506">
        <v>0</v>
      </c>
      <c r="AD183" s="506">
        <v>10</v>
      </c>
      <c r="AE183" s="506"/>
      <c r="AF183" s="507"/>
      <c r="AG183" s="506"/>
      <c r="AH183" s="507"/>
      <c r="AI183" s="506"/>
      <c r="AJ183" s="506">
        <v>0</v>
      </c>
      <c r="AK183" s="506">
        <v>0</v>
      </c>
      <c r="AL183" s="7"/>
      <c r="AM183" s="7"/>
      <c r="AN183" s="7"/>
      <c r="AO183" s="7"/>
      <c r="AP183" s="7"/>
      <c r="AQ183" s="7"/>
      <c r="AR183" s="7"/>
      <c r="AS183" s="7"/>
      <c r="AT183" s="7"/>
      <c r="AU183" s="3"/>
      <c r="AV183" s="3"/>
    </row>
    <row r="184" spans="1:48" s="1" customFormat="1" hidden="1">
      <c r="A184" s="9"/>
      <c r="B184" s="3"/>
      <c r="C184" s="3"/>
      <c r="D184" s="3"/>
      <c r="E184" s="3"/>
      <c r="F184" s="3"/>
      <c r="G184" s="3"/>
      <c r="H184" s="3"/>
      <c r="I184" s="3"/>
      <c r="J184" s="3"/>
      <c r="K184" s="3"/>
      <c r="P184" s="912"/>
      <c r="Q184" s="3"/>
      <c r="R184" s="3"/>
      <c r="S184" s="3"/>
      <c r="T184" s="3"/>
      <c r="U184" s="3"/>
      <c r="V184" s="213" t="s">
        <v>582</v>
      </c>
      <c r="W184" s="213"/>
      <c r="X184" s="213"/>
      <c r="Y184" s="345"/>
      <c r="Z184" s="345"/>
      <c r="AA184" s="321">
        <v>0</v>
      </c>
      <c r="AB184" s="321">
        <v>0</v>
      </c>
      <c r="AC184" s="321">
        <v>0</v>
      </c>
      <c r="AD184" s="506">
        <v>23</v>
      </c>
      <c r="AE184" s="345"/>
      <c r="AF184" s="345"/>
      <c r="AG184" s="345"/>
      <c r="AH184" s="345"/>
      <c r="AI184" s="345"/>
      <c r="AJ184" s="506">
        <v>4</v>
      </c>
      <c r="AK184" s="506">
        <v>4</v>
      </c>
      <c r="AL184" s="7"/>
      <c r="AM184" s="7"/>
      <c r="AN184" s="7"/>
      <c r="AO184" s="7"/>
      <c r="AP184" s="7"/>
      <c r="AQ184" s="7"/>
      <c r="AR184" s="7"/>
      <c r="AS184" s="7"/>
      <c r="AT184" s="7"/>
      <c r="AU184" s="3"/>
      <c r="AV184" s="3"/>
    </row>
    <row r="185" spans="1:48" s="1" customFormat="1" ht="18.75" hidden="1" customHeight="1">
      <c r="A185" s="9"/>
      <c r="B185" s="3"/>
      <c r="C185" s="3"/>
      <c r="D185" s="3"/>
      <c r="E185" s="3"/>
      <c r="F185" s="3"/>
      <c r="G185" s="3"/>
      <c r="H185" s="3"/>
      <c r="I185" s="3"/>
      <c r="J185" s="3"/>
      <c r="K185" s="3"/>
      <c r="P185" s="538"/>
      <c r="Q185" s="3"/>
      <c r="R185" s="3"/>
      <c r="S185" s="3"/>
      <c r="T185" s="3"/>
      <c r="U185" s="3"/>
      <c r="V185" s="213" t="s">
        <v>583</v>
      </c>
      <c r="W185" s="3"/>
      <c r="X185" s="3"/>
      <c r="Y185" s="7"/>
      <c r="Z185" s="320" t="s">
        <v>571</v>
      </c>
      <c r="AA185" s="321">
        <v>0</v>
      </c>
      <c r="AB185" s="321">
        <v>0</v>
      </c>
      <c r="AC185" s="321">
        <v>0</v>
      </c>
      <c r="AD185" s="506">
        <v>16</v>
      </c>
      <c r="AE185" s="345"/>
      <c r="AF185" s="345"/>
      <c r="AG185" s="345"/>
      <c r="AH185" s="345"/>
      <c r="AI185" s="345"/>
      <c r="AJ185" s="506">
        <v>4</v>
      </c>
      <c r="AK185" s="506">
        <v>3</v>
      </c>
      <c r="AL185" s="7"/>
      <c r="AM185" s="7"/>
      <c r="AN185" s="7"/>
      <c r="AO185" s="7"/>
      <c r="AP185" s="7"/>
      <c r="AQ185" s="7"/>
      <c r="AR185" s="7"/>
      <c r="AS185" s="7"/>
      <c r="AT185" s="7"/>
      <c r="AU185" s="3"/>
      <c r="AV185" s="3"/>
    </row>
    <row r="186" spans="1:48" s="1" customFormat="1" ht="16.5" hidden="1" thickBot="1">
      <c r="A186" s="9"/>
      <c r="B186" s="3"/>
      <c r="C186" s="3"/>
      <c r="D186" s="3"/>
      <c r="E186" s="3"/>
      <c r="F186" s="3"/>
      <c r="G186" s="3"/>
      <c r="H186" s="3"/>
      <c r="I186" s="3"/>
      <c r="J186" s="3"/>
      <c r="K186" s="3"/>
      <c r="P186" s="5"/>
      <c r="Q186" s="3"/>
      <c r="R186" s="3"/>
      <c r="S186" s="3"/>
      <c r="T186" s="3"/>
      <c r="U186" s="3"/>
      <c r="V186" s="3"/>
      <c r="W186" s="3"/>
      <c r="X186" s="3"/>
      <c r="Y186" s="7"/>
      <c r="Z186" s="7"/>
      <c r="AA186" s="7"/>
      <c r="AB186" s="7"/>
      <c r="AC186" s="7"/>
      <c r="AD186" s="7"/>
      <c r="AE186" s="7"/>
      <c r="AF186" s="7"/>
      <c r="AG186" s="7"/>
      <c r="AH186" s="7"/>
      <c r="AI186" s="7"/>
      <c r="AJ186" s="7"/>
      <c r="AK186" s="7"/>
      <c r="AL186" s="7"/>
      <c r="AM186" s="7"/>
      <c r="AN186" s="7"/>
      <c r="AO186" s="7"/>
      <c r="AP186" s="7"/>
      <c r="AQ186" s="7"/>
      <c r="AR186" s="7"/>
      <c r="AS186" s="7"/>
      <c r="AT186" s="3"/>
      <c r="AU186" s="3"/>
    </row>
    <row r="187" spans="1:48" s="1" customFormat="1" ht="90" hidden="1">
      <c r="A187" s="9"/>
      <c r="B187" s="3"/>
      <c r="C187" s="3"/>
      <c r="D187" s="3"/>
      <c r="E187" s="3"/>
      <c r="F187" s="3"/>
      <c r="G187" s="3"/>
      <c r="H187" s="3"/>
      <c r="I187" s="3"/>
      <c r="J187" s="3"/>
      <c r="K187" s="3"/>
      <c r="P187" s="5"/>
      <c r="Q187" s="3"/>
      <c r="R187" s="3"/>
      <c r="S187" s="3"/>
      <c r="T187" s="3"/>
      <c r="U187" s="3"/>
      <c r="V187" s="508" t="s">
        <v>584</v>
      </c>
      <c r="W187" s="509"/>
      <c r="X187" s="509"/>
      <c r="Y187" s="510"/>
      <c r="Z187" s="511" t="s">
        <v>571</v>
      </c>
      <c r="AA187" s="511" t="s">
        <v>572</v>
      </c>
      <c r="AB187" s="508" t="s">
        <v>573</v>
      </c>
      <c r="AC187" s="508" t="s">
        <v>574</v>
      </c>
      <c r="AD187" s="508" t="s">
        <v>575</v>
      </c>
      <c r="AE187" s="508" t="s">
        <v>573</v>
      </c>
      <c r="AF187" s="512" t="s">
        <v>576</v>
      </c>
      <c r="AG187" s="512" t="s">
        <v>577</v>
      </c>
      <c r="AH187" s="512" t="s">
        <v>578</v>
      </c>
      <c r="AI187" s="512" t="s">
        <v>579</v>
      </c>
      <c r="AJ187" s="508" t="s">
        <v>573</v>
      </c>
      <c r="AK187" s="508" t="s">
        <v>580</v>
      </c>
    </row>
    <row r="188" spans="1:48" s="1" customFormat="1" ht="18" hidden="1">
      <c r="A188" s="9"/>
      <c r="B188" s="3"/>
      <c r="C188" s="3"/>
      <c r="D188" s="3"/>
      <c r="E188" s="3"/>
      <c r="F188" s="3"/>
      <c r="G188" s="3"/>
      <c r="H188" s="3"/>
      <c r="I188" s="3"/>
      <c r="J188" s="910">
        <f>I188</f>
        <v>0</v>
      </c>
      <c r="K188" s="3"/>
      <c r="P188" s="5"/>
      <c r="Q188" s="3"/>
      <c r="R188" s="3"/>
      <c r="S188" s="3"/>
      <c r="T188" s="3"/>
      <c r="U188" s="3"/>
      <c r="V188" s="213" t="s">
        <v>581</v>
      </c>
      <c r="W188" s="213"/>
      <c r="X188" s="214"/>
      <c r="Y188" s="345"/>
      <c r="Z188" s="345"/>
      <c r="AA188" s="506">
        <v>12</v>
      </c>
      <c r="AB188" s="506">
        <v>12</v>
      </c>
      <c r="AC188" s="506">
        <v>12</v>
      </c>
      <c r="AD188" s="506">
        <f>592+52</f>
        <v>644</v>
      </c>
      <c r="AE188" s="506"/>
      <c r="AF188" s="507"/>
      <c r="AG188" s="506"/>
      <c r="AH188" s="507"/>
      <c r="AI188" s="506"/>
      <c r="AJ188" s="506">
        <v>402</v>
      </c>
      <c r="AK188" s="506">
        <f>AJ188+AC188</f>
        <v>414</v>
      </c>
    </row>
    <row r="189" spans="1:48" s="1" customFormat="1" hidden="1">
      <c r="A189" s="9"/>
      <c r="B189" s="3"/>
      <c r="C189" s="3"/>
      <c r="D189" s="3"/>
      <c r="E189" s="3"/>
      <c r="F189" s="3"/>
      <c r="G189" s="3"/>
      <c r="H189" s="3"/>
      <c r="I189" s="3"/>
      <c r="J189" s="911"/>
      <c r="K189" s="3"/>
      <c r="P189" s="5"/>
      <c r="Q189" s="3"/>
      <c r="R189" s="3"/>
      <c r="S189" s="3"/>
      <c r="T189" s="3"/>
      <c r="U189" s="3"/>
      <c r="V189" s="213" t="s">
        <v>582</v>
      </c>
      <c r="W189" s="213"/>
      <c r="X189" s="213"/>
      <c r="Y189" s="345"/>
      <c r="Z189" s="345"/>
      <c r="AA189" s="506">
        <v>0</v>
      </c>
      <c r="AB189" s="506">
        <v>0</v>
      </c>
      <c r="AC189" s="506">
        <v>0</v>
      </c>
      <c r="AD189" s="506">
        <v>109</v>
      </c>
      <c r="AE189" s="506"/>
      <c r="AF189" s="506"/>
      <c r="AG189" s="506"/>
      <c r="AH189" s="506"/>
      <c r="AI189" s="506"/>
      <c r="AJ189" s="506">
        <v>35</v>
      </c>
      <c r="AK189" s="506">
        <v>35</v>
      </c>
    </row>
    <row r="190" spans="1:48" s="1" customFormat="1" hidden="1">
      <c r="A190" s="9"/>
      <c r="B190" s="3"/>
      <c r="C190" s="3"/>
      <c r="D190" s="3"/>
      <c r="E190" s="3"/>
      <c r="F190" s="3"/>
      <c r="G190" s="3"/>
      <c r="H190" s="3"/>
      <c r="I190" s="3"/>
      <c r="J190" s="911"/>
      <c r="K190" s="3"/>
      <c r="P190" s="5"/>
      <c r="Q190" s="3"/>
      <c r="R190" s="3"/>
      <c r="S190" s="3"/>
      <c r="T190" s="3"/>
      <c r="U190" s="3"/>
      <c r="V190" s="3"/>
      <c r="W190" s="3"/>
      <c r="X190" s="3"/>
      <c r="Y190" s="7"/>
      <c r="Z190" s="7"/>
    </row>
    <row r="191" spans="1:48" s="1" customFormat="1" ht="16.5" hidden="1" thickBot="1">
      <c r="A191" s="9"/>
      <c r="B191" s="3"/>
      <c r="C191" s="3"/>
      <c r="D191" s="3"/>
      <c r="E191" s="3"/>
      <c r="F191" s="3"/>
      <c r="G191" s="3"/>
      <c r="H191" s="3"/>
      <c r="I191" s="3"/>
      <c r="J191" s="912"/>
      <c r="K191" s="3"/>
      <c r="P191" s="5"/>
      <c r="Q191" s="3"/>
      <c r="R191" s="3"/>
      <c r="S191" s="3"/>
      <c r="T191" s="3"/>
      <c r="U191" s="3"/>
      <c r="V191" s="3"/>
      <c r="W191" s="3"/>
      <c r="X191" s="3"/>
      <c r="Y191" s="7"/>
      <c r="Z191" s="7"/>
    </row>
    <row r="192" spans="1:48" ht="90" hidden="1">
      <c r="V192" s="508" t="s">
        <v>585</v>
      </c>
      <c r="W192" s="509"/>
      <c r="X192" s="509"/>
      <c r="Y192" s="510"/>
      <c r="Z192" s="511" t="s">
        <v>571</v>
      </c>
      <c r="AA192" s="511" t="s">
        <v>572</v>
      </c>
      <c r="AB192" s="508" t="s">
        <v>573</v>
      </c>
      <c r="AC192" s="508" t="s">
        <v>574</v>
      </c>
      <c r="AD192" s="508" t="s">
        <v>575</v>
      </c>
      <c r="AE192" s="508" t="s">
        <v>573</v>
      </c>
      <c r="AF192" s="512" t="s">
        <v>576</v>
      </c>
      <c r="AG192" s="512" t="s">
        <v>577</v>
      </c>
      <c r="AH192" s="512" t="s">
        <v>578</v>
      </c>
      <c r="AI192" s="512" t="s">
        <v>579</v>
      </c>
      <c r="AJ192" s="508" t="s">
        <v>573</v>
      </c>
      <c r="AK192" s="508" t="s">
        <v>580</v>
      </c>
      <c r="AL192" s="2"/>
      <c r="AM192" s="2"/>
      <c r="AN192" s="2"/>
      <c r="AO192" s="2"/>
      <c r="AP192" s="2"/>
      <c r="AQ192" s="2"/>
      <c r="AR192" s="2"/>
      <c r="AS192" s="2"/>
      <c r="AT192" s="2"/>
      <c r="AU192" s="2"/>
    </row>
    <row r="193" spans="22:47" ht="18" hidden="1">
      <c r="V193" s="213" t="s">
        <v>581</v>
      </c>
      <c r="W193" s="213"/>
      <c r="X193" s="214"/>
      <c r="Y193" s="345"/>
      <c r="Z193" s="345"/>
      <c r="AA193" s="506">
        <v>13</v>
      </c>
      <c r="AB193" s="506">
        <v>13</v>
      </c>
      <c r="AC193" s="506">
        <v>13</v>
      </c>
      <c r="AD193" s="506">
        <v>7620</v>
      </c>
      <c r="AE193" s="506"/>
      <c r="AF193" s="507"/>
      <c r="AG193" s="506"/>
      <c r="AH193" s="507"/>
      <c r="AI193" s="506"/>
      <c r="AJ193" s="506">
        <v>3360</v>
      </c>
      <c r="AK193" s="506">
        <v>3593</v>
      </c>
      <c r="AL193" s="2"/>
      <c r="AM193" s="2"/>
      <c r="AN193" s="2"/>
      <c r="AO193" s="2"/>
      <c r="AP193" s="2"/>
      <c r="AQ193" s="2"/>
      <c r="AR193" s="2"/>
      <c r="AS193" s="2"/>
      <c r="AT193" s="2"/>
      <c r="AU193" s="2"/>
    </row>
    <row r="194" spans="22:47" hidden="1">
      <c r="V194" s="213" t="s">
        <v>582</v>
      </c>
      <c r="W194" s="213"/>
      <c r="X194" s="213"/>
      <c r="Y194" s="345"/>
      <c r="Z194" s="345"/>
      <c r="AA194" s="506">
        <v>1</v>
      </c>
      <c r="AB194" s="506">
        <v>1</v>
      </c>
      <c r="AC194" s="506">
        <v>1</v>
      </c>
      <c r="AD194" s="506">
        <v>12</v>
      </c>
      <c r="AE194" s="506"/>
      <c r="AF194" s="506"/>
      <c r="AG194" s="506"/>
      <c r="AH194" s="506"/>
      <c r="AI194" s="506"/>
      <c r="AJ194" s="506">
        <v>2</v>
      </c>
      <c r="AK194" s="506">
        <v>2</v>
      </c>
      <c r="AL194" s="2"/>
      <c r="AM194" s="2"/>
      <c r="AN194" s="2"/>
      <c r="AO194" s="2"/>
      <c r="AP194" s="2"/>
      <c r="AQ194" s="2"/>
      <c r="AR194" s="2"/>
      <c r="AS194" s="2"/>
      <c r="AT194" s="2"/>
      <c r="AU194" s="2"/>
    </row>
    <row r="195" spans="22:47" hidden="1">
      <c r="AA195" s="2"/>
      <c r="AB195" s="2"/>
      <c r="AC195" s="2"/>
      <c r="AD195" s="2"/>
      <c r="AE195" s="2"/>
      <c r="AF195" s="2"/>
      <c r="AG195" s="2"/>
      <c r="AH195" s="2"/>
      <c r="AI195" s="2"/>
      <c r="AJ195" s="2"/>
      <c r="AK195" s="2"/>
      <c r="AL195" s="2"/>
      <c r="AM195" s="2"/>
      <c r="AN195" s="2"/>
      <c r="AO195" s="2"/>
      <c r="AP195" s="2"/>
      <c r="AQ195" s="2"/>
      <c r="AR195" s="2"/>
      <c r="AS195" s="2"/>
      <c r="AT195" s="2"/>
      <c r="AU195" s="2"/>
    </row>
    <row r="196" spans="22:47" ht="16.5" hidden="1" thickBot="1">
      <c r="AA196" s="2"/>
      <c r="AB196" s="2"/>
      <c r="AC196" s="2"/>
      <c r="AD196" s="2"/>
      <c r="AE196" s="2"/>
      <c r="AF196" s="2"/>
      <c r="AG196" s="2"/>
      <c r="AH196" s="2"/>
      <c r="AI196" s="2"/>
      <c r="AJ196" s="2"/>
      <c r="AK196" s="2"/>
      <c r="AL196" s="2"/>
      <c r="AM196" s="2"/>
      <c r="AN196" s="2"/>
      <c r="AO196" s="2"/>
      <c r="AP196" s="2"/>
      <c r="AQ196" s="2"/>
      <c r="AR196" s="2"/>
      <c r="AS196" s="2"/>
      <c r="AT196" s="2"/>
      <c r="AU196" s="2"/>
    </row>
    <row r="197" spans="22:47" ht="90" hidden="1">
      <c r="V197" s="508" t="s">
        <v>586</v>
      </c>
      <c r="W197" s="509"/>
      <c r="X197" s="509"/>
      <c r="Y197" s="510"/>
      <c r="Z197" s="511" t="s">
        <v>571</v>
      </c>
      <c r="AA197" s="511" t="s">
        <v>572</v>
      </c>
      <c r="AB197" s="508" t="s">
        <v>573</v>
      </c>
      <c r="AC197" s="508" t="s">
        <v>574</v>
      </c>
      <c r="AD197" s="508" t="s">
        <v>575</v>
      </c>
      <c r="AE197" s="508" t="s">
        <v>573</v>
      </c>
      <c r="AF197" s="512" t="s">
        <v>576</v>
      </c>
      <c r="AG197" s="512" t="s">
        <v>577</v>
      </c>
      <c r="AH197" s="512" t="s">
        <v>578</v>
      </c>
      <c r="AI197" s="512" t="s">
        <v>579</v>
      </c>
      <c r="AJ197" s="508" t="s">
        <v>573</v>
      </c>
      <c r="AK197" s="508" t="s">
        <v>580</v>
      </c>
      <c r="AL197" s="2"/>
      <c r="AM197" s="2"/>
      <c r="AN197" s="2"/>
      <c r="AO197" s="2"/>
      <c r="AP197" s="2"/>
      <c r="AQ197" s="2"/>
      <c r="AR197" s="2"/>
      <c r="AS197" s="2"/>
      <c r="AT197" s="2"/>
      <c r="AU197" s="2"/>
    </row>
    <row r="198" spans="22:47" ht="18" hidden="1">
      <c r="V198" s="213" t="s">
        <v>581</v>
      </c>
      <c r="W198" s="213"/>
      <c r="X198" s="214"/>
      <c r="Y198" s="345"/>
      <c r="Z198" s="345"/>
      <c r="AA198" s="506">
        <v>0</v>
      </c>
      <c r="AB198" s="506">
        <v>0</v>
      </c>
      <c r="AC198" s="506">
        <v>0</v>
      </c>
      <c r="AD198" s="506">
        <v>1</v>
      </c>
      <c r="AE198" s="506"/>
      <c r="AF198" s="507"/>
      <c r="AG198" s="506"/>
      <c r="AH198" s="507"/>
      <c r="AI198" s="506"/>
      <c r="AJ198" s="506">
        <v>1</v>
      </c>
      <c r="AK198" s="506">
        <v>1</v>
      </c>
      <c r="AL198" s="2"/>
      <c r="AM198" s="2"/>
      <c r="AN198" s="2"/>
      <c r="AO198" s="2"/>
      <c r="AP198" s="2"/>
      <c r="AQ198" s="2"/>
      <c r="AR198" s="2"/>
      <c r="AS198" s="2"/>
      <c r="AT198" s="2"/>
      <c r="AU198" s="2"/>
    </row>
    <row r="199" spans="22:47" hidden="1">
      <c r="V199" s="213" t="s">
        <v>582</v>
      </c>
      <c r="W199" s="213"/>
      <c r="X199" s="213"/>
      <c r="Y199" s="345"/>
      <c r="Z199" s="345"/>
      <c r="AA199" s="506">
        <v>3</v>
      </c>
      <c r="AB199" s="506">
        <v>3</v>
      </c>
      <c r="AC199" s="506">
        <v>3</v>
      </c>
      <c r="AD199" s="506">
        <v>12</v>
      </c>
      <c r="AE199" s="506"/>
      <c r="AF199" s="506"/>
      <c r="AG199" s="506"/>
      <c r="AH199" s="506"/>
      <c r="AI199" s="506"/>
      <c r="AJ199" s="506">
        <v>3</v>
      </c>
      <c r="AK199" s="506">
        <v>3</v>
      </c>
      <c r="AL199" s="2"/>
      <c r="AM199" s="2"/>
      <c r="AN199" s="2"/>
      <c r="AO199" s="2"/>
      <c r="AP199" s="2"/>
      <c r="AQ199" s="2"/>
      <c r="AR199" s="2"/>
      <c r="AS199" s="2"/>
      <c r="AT199" s="2"/>
      <c r="AU199" s="2"/>
    </row>
    <row r="200" spans="22:47" ht="21" hidden="1" customHeight="1">
      <c r="V200" s="213" t="s">
        <v>583</v>
      </c>
      <c r="Z200" s="320" t="s">
        <v>571</v>
      </c>
      <c r="AA200" s="506">
        <v>3</v>
      </c>
      <c r="AB200" s="506">
        <v>3</v>
      </c>
      <c r="AC200" s="506">
        <v>3</v>
      </c>
      <c r="AD200" s="506">
        <v>31</v>
      </c>
      <c r="AE200" s="506"/>
      <c r="AF200" s="506"/>
      <c r="AG200" s="506"/>
      <c r="AH200" s="506"/>
      <c r="AI200" s="506"/>
      <c r="AJ200" s="506">
        <v>10</v>
      </c>
      <c r="AK200" s="506">
        <v>4</v>
      </c>
      <c r="AL200" s="2" t="s">
        <v>587</v>
      </c>
      <c r="AM200" s="2"/>
      <c r="AN200" s="2"/>
      <c r="AO200" s="2"/>
      <c r="AP200" s="2"/>
      <c r="AQ200" s="2"/>
      <c r="AR200" s="2"/>
      <c r="AS200" s="2"/>
      <c r="AT200" s="2"/>
      <c r="AU200" s="2"/>
    </row>
    <row r="201" spans="22:47" hidden="1">
      <c r="V201" s="213" t="s">
        <v>588</v>
      </c>
      <c r="Z201" s="345"/>
      <c r="AA201" s="506">
        <v>0</v>
      </c>
      <c r="AB201" s="506">
        <v>0</v>
      </c>
      <c r="AC201" s="506">
        <v>0</v>
      </c>
      <c r="AD201" s="506">
        <v>411</v>
      </c>
      <c r="AE201" s="506"/>
      <c r="AF201" s="506"/>
      <c r="AG201" s="506"/>
      <c r="AH201" s="506"/>
      <c r="AI201" s="506"/>
      <c r="AJ201" s="506">
        <v>401</v>
      </c>
      <c r="AK201" s="506">
        <v>401</v>
      </c>
      <c r="AL201" s="2"/>
      <c r="AM201" s="2"/>
      <c r="AN201" s="2"/>
      <c r="AO201" s="2"/>
      <c r="AP201" s="2"/>
      <c r="AQ201" s="2"/>
      <c r="AR201" s="2"/>
      <c r="AS201" s="2"/>
      <c r="AT201" s="2"/>
      <c r="AU201" s="2"/>
    </row>
    <row r="202" spans="22:47" ht="16.5" hidden="1" thickBot="1">
      <c r="AA202" s="2"/>
      <c r="AB202" s="2"/>
      <c r="AC202" s="2"/>
      <c r="AD202" s="2"/>
      <c r="AE202" s="2"/>
      <c r="AF202" s="2"/>
      <c r="AG202" s="2"/>
      <c r="AH202" s="2"/>
      <c r="AI202" s="2"/>
      <c r="AJ202" s="2"/>
      <c r="AK202" s="2"/>
      <c r="AL202" s="2"/>
      <c r="AM202" s="2"/>
      <c r="AN202" s="2"/>
      <c r="AO202" s="2"/>
      <c r="AP202" s="2"/>
      <c r="AQ202" s="2"/>
      <c r="AR202" s="2"/>
      <c r="AS202" s="2"/>
      <c r="AT202" s="2"/>
      <c r="AU202" s="2"/>
    </row>
    <row r="203" spans="22:47" ht="90" hidden="1">
      <c r="V203" s="508" t="s">
        <v>589</v>
      </c>
      <c r="W203" s="509"/>
      <c r="X203" s="509"/>
      <c r="Y203" s="510"/>
      <c r="Z203" s="511" t="s">
        <v>571</v>
      </c>
      <c r="AA203" s="511" t="s">
        <v>572</v>
      </c>
      <c r="AB203" s="508" t="s">
        <v>573</v>
      </c>
      <c r="AC203" s="508" t="s">
        <v>574</v>
      </c>
      <c r="AD203" s="508" t="s">
        <v>575</v>
      </c>
      <c r="AE203" s="508" t="s">
        <v>573</v>
      </c>
      <c r="AF203" s="512" t="s">
        <v>576</v>
      </c>
      <c r="AG203" s="512" t="s">
        <v>577</v>
      </c>
      <c r="AH203" s="512" t="s">
        <v>578</v>
      </c>
      <c r="AI203" s="512" t="s">
        <v>579</v>
      </c>
      <c r="AJ203" s="508" t="s">
        <v>573</v>
      </c>
      <c r="AK203" s="508" t="s">
        <v>580</v>
      </c>
      <c r="AL203" s="2"/>
      <c r="AM203" s="2"/>
      <c r="AN203" s="2"/>
      <c r="AO203" s="2"/>
      <c r="AP203" s="2"/>
      <c r="AQ203" s="2"/>
      <c r="AR203" s="2"/>
      <c r="AS203" s="2"/>
      <c r="AT203" s="2"/>
      <c r="AU203" s="2"/>
    </row>
    <row r="204" spans="22:47" ht="18" hidden="1">
      <c r="V204" s="213" t="s">
        <v>581</v>
      </c>
      <c r="W204" s="213"/>
      <c r="X204" s="214"/>
      <c r="Y204" s="345"/>
      <c r="Z204" s="345"/>
      <c r="AA204" s="506">
        <v>0</v>
      </c>
      <c r="AB204" s="506">
        <v>0</v>
      </c>
      <c r="AC204" s="506">
        <v>0</v>
      </c>
      <c r="AD204" s="506">
        <v>79</v>
      </c>
      <c r="AE204" s="506"/>
      <c r="AF204" s="507"/>
      <c r="AG204" s="506"/>
      <c r="AH204" s="507"/>
      <c r="AI204" s="506"/>
      <c r="AJ204" s="506">
        <v>20</v>
      </c>
      <c r="AK204" s="506">
        <v>20</v>
      </c>
      <c r="AL204" s="2"/>
      <c r="AM204" s="2"/>
      <c r="AN204" s="2"/>
      <c r="AO204" s="2"/>
      <c r="AP204" s="2"/>
      <c r="AQ204" s="2"/>
      <c r="AR204" s="2"/>
      <c r="AS204" s="2"/>
      <c r="AT204" s="2"/>
      <c r="AU204" s="2"/>
    </row>
    <row r="205" spans="22:47" hidden="1">
      <c r="V205" s="213" t="s">
        <v>582</v>
      </c>
      <c r="W205" s="213"/>
      <c r="X205" s="213"/>
      <c r="Y205" s="345"/>
      <c r="Z205" s="345"/>
      <c r="AA205" s="506">
        <v>0</v>
      </c>
      <c r="AB205" s="506">
        <v>0</v>
      </c>
      <c r="AC205" s="506">
        <v>0</v>
      </c>
      <c r="AD205" s="506">
        <v>93</v>
      </c>
      <c r="AE205" s="506"/>
      <c r="AF205" s="506"/>
      <c r="AG205" s="506"/>
      <c r="AH205" s="506"/>
      <c r="AI205" s="506"/>
      <c r="AJ205" s="506">
        <v>21</v>
      </c>
      <c r="AK205" s="506">
        <v>21</v>
      </c>
      <c r="AL205" s="2"/>
      <c r="AM205" s="2"/>
      <c r="AN205" s="2"/>
      <c r="AO205" s="2"/>
      <c r="AP205" s="2"/>
      <c r="AQ205" s="2"/>
      <c r="AR205" s="2"/>
      <c r="AS205" s="2"/>
      <c r="AT205" s="2"/>
      <c r="AU205" s="2"/>
    </row>
    <row r="206" spans="22:47" ht="16.5" hidden="1" thickBot="1">
      <c r="AA206" s="2"/>
      <c r="AB206" s="2"/>
      <c r="AC206" s="2"/>
      <c r="AD206" s="2"/>
      <c r="AE206" s="2"/>
      <c r="AF206" s="2"/>
      <c r="AG206" s="2"/>
      <c r="AH206" s="2"/>
      <c r="AI206" s="2"/>
      <c r="AJ206" s="2"/>
      <c r="AK206" s="2"/>
      <c r="AL206" s="2"/>
      <c r="AM206" s="2"/>
      <c r="AN206" s="2"/>
      <c r="AO206" s="2"/>
      <c r="AP206" s="2"/>
      <c r="AQ206" s="2"/>
      <c r="AR206" s="2"/>
      <c r="AS206" s="2"/>
      <c r="AT206" s="2"/>
      <c r="AU206" s="2"/>
    </row>
    <row r="207" spans="22:47" ht="90" hidden="1">
      <c r="V207" s="508" t="s">
        <v>590</v>
      </c>
      <c r="W207" s="509"/>
      <c r="X207" s="509"/>
      <c r="Y207" s="510"/>
      <c r="Z207" s="511" t="s">
        <v>571</v>
      </c>
      <c r="AA207" s="511" t="s">
        <v>572</v>
      </c>
      <c r="AB207" s="508" t="s">
        <v>573</v>
      </c>
      <c r="AC207" s="508" t="s">
        <v>574</v>
      </c>
      <c r="AD207" s="508" t="s">
        <v>575</v>
      </c>
      <c r="AE207" s="508" t="s">
        <v>573</v>
      </c>
      <c r="AF207" s="512" t="s">
        <v>576</v>
      </c>
      <c r="AG207" s="512" t="s">
        <v>577</v>
      </c>
      <c r="AH207" s="512" t="s">
        <v>578</v>
      </c>
      <c r="AI207" s="512" t="s">
        <v>579</v>
      </c>
      <c r="AJ207" s="508" t="s">
        <v>573</v>
      </c>
      <c r="AK207" s="508" t="s">
        <v>580</v>
      </c>
      <c r="AL207" s="2"/>
      <c r="AM207" s="2"/>
      <c r="AN207" s="2"/>
      <c r="AO207" s="2"/>
      <c r="AP207" s="2"/>
      <c r="AQ207" s="2"/>
      <c r="AR207" s="2"/>
      <c r="AS207" s="2"/>
      <c r="AT207" s="2"/>
      <c r="AU207" s="2"/>
    </row>
    <row r="208" spans="22:47" ht="18" hidden="1">
      <c r="V208" s="213" t="s">
        <v>581</v>
      </c>
      <c r="W208" s="213"/>
      <c r="X208" s="214"/>
      <c r="Y208" s="345"/>
      <c r="Z208" s="345"/>
      <c r="AA208" s="506">
        <v>0</v>
      </c>
      <c r="AB208" s="506">
        <v>0</v>
      </c>
      <c r="AC208" s="506">
        <v>0</v>
      </c>
      <c r="AD208" s="506">
        <v>8</v>
      </c>
      <c r="AE208" s="506"/>
      <c r="AF208" s="507"/>
      <c r="AG208" s="506"/>
      <c r="AH208" s="507"/>
      <c r="AI208" s="506"/>
      <c r="AJ208" s="506">
        <v>2</v>
      </c>
      <c r="AK208" s="506">
        <v>2</v>
      </c>
      <c r="AL208" s="2"/>
      <c r="AM208" s="2"/>
      <c r="AN208" s="2"/>
      <c r="AO208" s="2"/>
      <c r="AP208" s="2"/>
      <c r="AQ208" s="2"/>
      <c r="AR208" s="2"/>
      <c r="AS208" s="2"/>
      <c r="AT208" s="2"/>
      <c r="AU208" s="2"/>
    </row>
    <row r="209" spans="22:47" hidden="1">
      <c r="V209" s="213" t="s">
        <v>582</v>
      </c>
      <c r="W209" s="213"/>
      <c r="X209" s="213"/>
      <c r="Y209" s="345"/>
      <c r="Z209" s="345"/>
      <c r="AA209" s="506">
        <v>0</v>
      </c>
      <c r="AB209" s="506">
        <v>0</v>
      </c>
      <c r="AC209" s="506">
        <v>0</v>
      </c>
      <c r="AD209" s="506">
        <v>2</v>
      </c>
      <c r="AE209" s="506"/>
      <c r="AF209" s="506"/>
      <c r="AG209" s="506"/>
      <c r="AH209" s="506"/>
      <c r="AI209" s="506"/>
      <c r="AJ209" s="506">
        <v>0</v>
      </c>
      <c r="AK209" s="506">
        <v>0</v>
      </c>
      <c r="AL209" s="2"/>
      <c r="AM209" s="2"/>
      <c r="AN209" s="2"/>
      <c r="AO209" s="2"/>
      <c r="AP209" s="2"/>
      <c r="AQ209" s="2"/>
      <c r="AR209" s="2"/>
      <c r="AS209" s="2"/>
      <c r="AT209" s="2"/>
      <c r="AU209" s="2"/>
    </row>
    <row r="210" spans="22:47" hidden="1">
      <c r="AA210" s="2"/>
      <c r="AB210" s="2"/>
      <c r="AC210" s="2"/>
      <c r="AD210" s="2"/>
      <c r="AE210" s="2"/>
      <c r="AF210" s="2"/>
      <c r="AG210" s="2"/>
      <c r="AH210" s="2"/>
      <c r="AI210" s="2"/>
      <c r="AJ210" s="2"/>
      <c r="AK210" s="2"/>
      <c r="AL210" s="2"/>
      <c r="AM210" s="2"/>
      <c r="AN210" s="2"/>
      <c r="AO210" s="2"/>
      <c r="AP210" s="2"/>
      <c r="AQ210" s="2"/>
      <c r="AR210" s="2"/>
      <c r="AS210" s="2"/>
      <c r="AT210" s="2"/>
      <c r="AU210" s="2"/>
    </row>
    <row r="211" spans="22:47" ht="16.5" hidden="1" thickBot="1">
      <c r="AA211" s="2"/>
      <c r="AB211" s="2"/>
      <c r="AC211" s="2"/>
      <c r="AD211" s="2"/>
      <c r="AE211" s="2"/>
      <c r="AF211" s="2"/>
      <c r="AG211" s="2"/>
      <c r="AH211" s="2"/>
      <c r="AI211" s="2"/>
      <c r="AJ211" s="2"/>
      <c r="AK211" s="2"/>
      <c r="AL211" s="2"/>
      <c r="AM211" s="2"/>
      <c r="AN211" s="2"/>
      <c r="AO211" s="2"/>
      <c r="AP211" s="2"/>
      <c r="AQ211" s="2"/>
      <c r="AR211" s="2"/>
      <c r="AS211" s="2"/>
      <c r="AT211" s="2"/>
      <c r="AU211" s="2"/>
    </row>
    <row r="212" spans="22:47" ht="90" hidden="1">
      <c r="V212" s="508" t="s">
        <v>591</v>
      </c>
      <c r="W212" s="509"/>
      <c r="X212" s="509"/>
      <c r="Y212" s="510"/>
      <c r="Z212" s="511" t="s">
        <v>571</v>
      </c>
      <c r="AA212" s="511" t="s">
        <v>572</v>
      </c>
      <c r="AB212" s="508" t="s">
        <v>573</v>
      </c>
      <c r="AC212" s="508" t="s">
        <v>574</v>
      </c>
      <c r="AD212" s="508" t="s">
        <v>575</v>
      </c>
      <c r="AE212" s="508" t="s">
        <v>573</v>
      </c>
      <c r="AF212" s="512" t="s">
        <v>576</v>
      </c>
      <c r="AG212" s="512" t="s">
        <v>577</v>
      </c>
      <c r="AH212" s="512" t="s">
        <v>578</v>
      </c>
      <c r="AI212" s="512" t="s">
        <v>579</v>
      </c>
      <c r="AJ212" s="508" t="s">
        <v>573</v>
      </c>
      <c r="AK212" s="508" t="s">
        <v>580</v>
      </c>
      <c r="AL212" s="2"/>
      <c r="AM212" s="2"/>
      <c r="AN212" s="2"/>
      <c r="AO212" s="2"/>
      <c r="AP212" s="2"/>
      <c r="AQ212" s="2"/>
      <c r="AR212" s="2"/>
      <c r="AS212" s="2"/>
      <c r="AT212" s="2"/>
      <c r="AU212" s="2"/>
    </row>
    <row r="213" spans="22:47" ht="18" hidden="1">
      <c r="V213" s="213" t="s">
        <v>581</v>
      </c>
      <c r="W213" s="213"/>
      <c r="X213" s="214"/>
      <c r="Y213" s="345"/>
      <c r="Z213" s="345"/>
      <c r="AA213" s="506">
        <v>1</v>
      </c>
      <c r="AB213" s="506">
        <v>1</v>
      </c>
      <c r="AC213" s="506">
        <v>1</v>
      </c>
      <c r="AD213" s="506">
        <v>56</v>
      </c>
      <c r="AE213" s="506"/>
      <c r="AF213" s="507"/>
      <c r="AG213" s="506"/>
      <c r="AH213" s="507"/>
      <c r="AI213" s="506"/>
      <c r="AJ213" s="506">
        <v>4</v>
      </c>
      <c r="AK213" s="506">
        <v>4</v>
      </c>
      <c r="AL213" s="2"/>
      <c r="AM213" s="2"/>
      <c r="AN213" s="2"/>
      <c r="AO213" s="2"/>
      <c r="AP213" s="2"/>
      <c r="AQ213" s="2"/>
      <c r="AR213" s="2"/>
      <c r="AS213" s="2"/>
      <c r="AT213" s="2"/>
      <c r="AU213" s="2"/>
    </row>
    <row r="214" spans="22:47" hidden="1">
      <c r="AA214" s="2"/>
      <c r="AB214" s="2"/>
      <c r="AC214" s="2"/>
      <c r="AD214" s="2"/>
      <c r="AE214" s="2"/>
      <c r="AF214" s="2"/>
      <c r="AG214" s="2"/>
      <c r="AH214" s="2"/>
      <c r="AI214" s="2"/>
      <c r="AJ214" s="2"/>
      <c r="AK214" s="2"/>
      <c r="AL214" s="2"/>
      <c r="AM214" s="2"/>
      <c r="AN214" s="2"/>
      <c r="AO214" s="2"/>
      <c r="AP214" s="2"/>
      <c r="AQ214" s="2"/>
      <c r="AR214" s="2"/>
      <c r="AS214" s="2"/>
      <c r="AT214" s="2"/>
      <c r="AU214" s="2"/>
    </row>
    <row r="215" spans="22:47" ht="16.5" hidden="1" thickBot="1">
      <c r="AA215" s="2"/>
      <c r="AB215" s="2"/>
      <c r="AC215" s="2"/>
      <c r="AD215" s="2"/>
      <c r="AE215" s="2"/>
      <c r="AF215" s="2"/>
      <c r="AG215" s="2"/>
      <c r="AH215" s="2"/>
      <c r="AI215" s="2"/>
      <c r="AJ215" s="2"/>
      <c r="AK215" s="2"/>
      <c r="AL215" s="2"/>
      <c r="AM215" s="2"/>
      <c r="AN215" s="2"/>
      <c r="AO215" s="2"/>
      <c r="AP215" s="2"/>
      <c r="AQ215" s="2"/>
      <c r="AR215" s="2"/>
      <c r="AS215" s="2"/>
      <c r="AT215" s="2"/>
      <c r="AU215" s="2"/>
    </row>
    <row r="216" spans="22:47" ht="90" hidden="1">
      <c r="V216" s="508" t="s">
        <v>592</v>
      </c>
      <c r="W216" s="509"/>
      <c r="X216" s="509"/>
      <c r="Y216" s="510"/>
      <c r="Z216" s="511" t="s">
        <v>571</v>
      </c>
      <c r="AA216" s="511" t="s">
        <v>572</v>
      </c>
      <c r="AB216" s="508" t="s">
        <v>573</v>
      </c>
      <c r="AC216" s="508" t="s">
        <v>574</v>
      </c>
      <c r="AD216" s="508" t="s">
        <v>575</v>
      </c>
      <c r="AE216" s="508" t="s">
        <v>573</v>
      </c>
      <c r="AF216" s="512" t="s">
        <v>576</v>
      </c>
      <c r="AG216" s="512" t="s">
        <v>577</v>
      </c>
      <c r="AH216" s="512" t="s">
        <v>578</v>
      </c>
      <c r="AI216" s="512" t="s">
        <v>579</v>
      </c>
      <c r="AJ216" s="508" t="s">
        <v>573</v>
      </c>
      <c r="AK216" s="508" t="s">
        <v>580</v>
      </c>
      <c r="AL216" s="2"/>
      <c r="AM216" s="2"/>
      <c r="AN216" s="2"/>
      <c r="AO216" s="2"/>
      <c r="AP216" s="2"/>
      <c r="AQ216" s="2"/>
      <c r="AR216" s="2"/>
      <c r="AS216" s="2"/>
      <c r="AT216" s="2"/>
      <c r="AU216" s="2"/>
    </row>
    <row r="217" spans="22:47" ht="18" hidden="1">
      <c r="V217" s="213" t="s">
        <v>581</v>
      </c>
      <c r="W217" s="213"/>
      <c r="X217" s="214"/>
      <c r="Y217" s="345"/>
      <c r="Z217" s="345"/>
      <c r="AA217" s="506">
        <v>0</v>
      </c>
      <c r="AB217" s="506">
        <v>0</v>
      </c>
      <c r="AC217" s="506">
        <v>0</v>
      </c>
      <c r="AD217" s="506">
        <v>25</v>
      </c>
      <c r="AE217" s="506"/>
      <c r="AF217" s="507"/>
      <c r="AG217" s="506"/>
      <c r="AH217" s="507"/>
      <c r="AI217" s="506"/>
      <c r="AJ217" s="506">
        <v>6</v>
      </c>
      <c r="AK217" s="506">
        <v>6</v>
      </c>
      <c r="AL217" s="2"/>
      <c r="AM217" s="2"/>
      <c r="AN217" s="2"/>
      <c r="AO217" s="2"/>
      <c r="AP217" s="2"/>
      <c r="AQ217" s="2"/>
      <c r="AR217" s="2"/>
      <c r="AS217" s="2"/>
      <c r="AT217" s="2"/>
      <c r="AU217" s="2"/>
    </row>
    <row r="218" spans="22:47" hidden="1">
      <c r="V218" s="213" t="s">
        <v>582</v>
      </c>
      <c r="W218" s="213"/>
      <c r="X218" s="213"/>
      <c r="Y218" s="345"/>
      <c r="Z218" s="345"/>
      <c r="AA218" s="506">
        <v>2</v>
      </c>
      <c r="AB218" s="506">
        <v>0</v>
      </c>
      <c r="AC218" s="506">
        <v>0</v>
      </c>
      <c r="AD218" s="506">
        <v>63</v>
      </c>
      <c r="AE218" s="506"/>
      <c r="AF218" s="506"/>
      <c r="AG218" s="506"/>
      <c r="AH218" s="506"/>
      <c r="AI218" s="506"/>
      <c r="AJ218" s="506">
        <v>16</v>
      </c>
      <c r="AK218" s="506">
        <v>17</v>
      </c>
      <c r="AL218" s="2"/>
      <c r="AM218" s="2"/>
      <c r="AN218" s="2"/>
      <c r="AO218" s="2"/>
      <c r="AP218" s="2"/>
      <c r="AQ218" s="2"/>
      <c r="AR218" s="2"/>
      <c r="AS218" s="2"/>
      <c r="AT218" s="2"/>
      <c r="AU218" s="2"/>
    </row>
    <row r="219" spans="22:47" ht="24.75" hidden="1" customHeight="1">
      <c r="V219" s="213" t="s">
        <v>583</v>
      </c>
      <c r="Z219" s="320" t="s">
        <v>571</v>
      </c>
      <c r="AA219" s="506">
        <v>0</v>
      </c>
      <c r="AB219" s="506">
        <v>0</v>
      </c>
      <c r="AC219" s="506">
        <v>0</v>
      </c>
      <c r="AD219" s="506">
        <v>15</v>
      </c>
      <c r="AE219" s="345"/>
      <c r="AF219" s="345"/>
      <c r="AG219" s="345"/>
      <c r="AH219" s="345"/>
      <c r="AI219" s="345"/>
      <c r="AJ219" s="506">
        <v>3</v>
      </c>
      <c r="AK219" s="506">
        <v>4</v>
      </c>
      <c r="AL219" s="2"/>
      <c r="AM219" s="2"/>
      <c r="AN219" s="2"/>
      <c r="AO219" s="2"/>
      <c r="AP219" s="2"/>
      <c r="AQ219" s="2"/>
      <c r="AR219" s="2"/>
      <c r="AS219" s="2"/>
      <c r="AT219" s="2"/>
      <c r="AU219" s="2"/>
    </row>
    <row r="220" spans="22:47" hidden="1"/>
    <row r="221" spans="22:47" hidden="1"/>
    <row r="223" spans="22:47">
      <c r="Z223" s="7">
        <f>Y224-Y171</f>
        <v>0</v>
      </c>
    </row>
    <row r="224" spans="22:47">
      <c r="Y224" s="7">
        <v>187399993390.91089</v>
      </c>
    </row>
  </sheetData>
  <sheetProtection algorithmName="SHA-512" hashValue="kOnP4iTZ7Wgu06kC6rViDAhZj2IaJKoHVVHMqrDXoG0j+idGmLaH2hE1dn8d1HInPqrLBYHTx5KrZnEEuna9qg==" saltValue="Z/ztWSgbWYgc7ZWmWrg2kA==" spinCount="100000" sheet="1" selectLockedCells="1" selectUnlockedCells="1"/>
  <autoFilter ref="A6:BC170" xr:uid="{00000000-0001-0000-0100-000000000000}">
    <filterColumn colId="0" showButton="0"/>
    <filterColumn colId="1" showButton="0"/>
    <filterColumn colId="2" showButton="0"/>
    <filterColumn colId="4" showButton="0"/>
    <filterColumn colId="5" showButton="0"/>
    <filterColumn colId="6" showButton="0"/>
    <filterColumn colId="9" showButton="0"/>
    <filterColumn colId="10" showButton="0"/>
    <filterColumn colId="1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1" showButton="0"/>
  </autoFilter>
  <mergeCells count="489">
    <mergeCell ref="M113:M117"/>
    <mergeCell ref="M109:M111"/>
    <mergeCell ref="N123:N125"/>
    <mergeCell ref="N120:N121"/>
    <mergeCell ref="Z146:Z156"/>
    <mergeCell ref="Y132:Y140"/>
    <mergeCell ref="Y141:Y143"/>
    <mergeCell ref="Z141:Z143"/>
    <mergeCell ref="Z144:Z145"/>
    <mergeCell ref="Y144:Y145"/>
    <mergeCell ref="X141:X143"/>
    <mergeCell ref="W141:W143"/>
    <mergeCell ref="N126:N130"/>
    <mergeCell ref="M141:M143"/>
    <mergeCell ref="H120:H122"/>
    <mergeCell ref="I118:I122"/>
    <mergeCell ref="L150:L156"/>
    <mergeCell ref="M150:M156"/>
    <mergeCell ref="N150:N154"/>
    <mergeCell ref="O126:O130"/>
    <mergeCell ref="M136:M140"/>
    <mergeCell ref="M128:M129"/>
    <mergeCell ref="L141:L143"/>
    <mergeCell ref="L128:L129"/>
    <mergeCell ref="K126:K127"/>
    <mergeCell ref="J128:J129"/>
    <mergeCell ref="I126:I131"/>
    <mergeCell ref="K128:K129"/>
    <mergeCell ref="J132:J134"/>
    <mergeCell ref="K132:K134"/>
    <mergeCell ref="M126:M127"/>
    <mergeCell ref="L132:L134"/>
    <mergeCell ref="M132:M134"/>
    <mergeCell ref="W123:W125"/>
    <mergeCell ref="O123:O125"/>
    <mergeCell ref="J188:J191"/>
    <mergeCell ref="O148:O149"/>
    <mergeCell ref="O138:O139"/>
    <mergeCell ref="M146:M149"/>
    <mergeCell ref="K150:K156"/>
    <mergeCell ref="J141:J143"/>
    <mergeCell ref="Q176:R176"/>
    <mergeCell ref="K141:K143"/>
    <mergeCell ref="L146:L149"/>
    <mergeCell ref="J136:J140"/>
    <mergeCell ref="K136:K140"/>
    <mergeCell ref="C168:C170"/>
    <mergeCell ref="F169:F170"/>
    <mergeCell ref="F135:F140"/>
    <mergeCell ref="D168:D170"/>
    <mergeCell ref="K146:K149"/>
    <mergeCell ref="P181:P184"/>
    <mergeCell ref="L136:L140"/>
    <mergeCell ref="O155:O156"/>
    <mergeCell ref="O150:O154"/>
    <mergeCell ref="D146:D156"/>
    <mergeCell ref="J150:J156"/>
    <mergeCell ref="F146:F156"/>
    <mergeCell ref="I146:I156"/>
    <mergeCell ref="B157:B170"/>
    <mergeCell ref="C157:C158"/>
    <mergeCell ref="E161:E167"/>
    <mergeCell ref="F161:F167"/>
    <mergeCell ref="G161:G167"/>
    <mergeCell ref="C146:C156"/>
    <mergeCell ref="J146:J149"/>
    <mergeCell ref="H161:H167"/>
    <mergeCell ref="I159:I167"/>
    <mergeCell ref="D159:D167"/>
    <mergeCell ref="C159:C167"/>
    <mergeCell ref="D157:D158"/>
    <mergeCell ref="I157:I158"/>
    <mergeCell ref="A141:A145"/>
    <mergeCell ref="B141:B145"/>
    <mergeCell ref="C144:C145"/>
    <mergeCell ref="D144:D145"/>
    <mergeCell ref="I144:I145"/>
    <mergeCell ref="E141:E142"/>
    <mergeCell ref="H141:H142"/>
    <mergeCell ref="I168:I170"/>
    <mergeCell ref="E169:E170"/>
    <mergeCell ref="H146:H156"/>
    <mergeCell ref="G146:G156"/>
    <mergeCell ref="E146:E156"/>
    <mergeCell ref="A146:A156"/>
    <mergeCell ref="B146:B156"/>
    <mergeCell ref="E144:E145"/>
    <mergeCell ref="F144:F145"/>
    <mergeCell ref="A157:A170"/>
    <mergeCell ref="A126:A140"/>
    <mergeCell ref="B126:B140"/>
    <mergeCell ref="A72:A107"/>
    <mergeCell ref="B72:B107"/>
    <mergeCell ref="J91:J92"/>
    <mergeCell ref="K85:K86"/>
    <mergeCell ref="I141:I143"/>
    <mergeCell ref="C141:C143"/>
    <mergeCell ref="D141:D143"/>
    <mergeCell ref="K79:K80"/>
    <mergeCell ref="K93:K94"/>
    <mergeCell ref="K97:K98"/>
    <mergeCell ref="K87:K88"/>
    <mergeCell ref="K72:K73"/>
    <mergeCell ref="K74:K77"/>
    <mergeCell ref="A108:A125"/>
    <mergeCell ref="B108:B125"/>
    <mergeCell ref="J126:J127"/>
    <mergeCell ref="D118:D122"/>
    <mergeCell ref="G80:G94"/>
    <mergeCell ref="F80:F94"/>
    <mergeCell ref="G72:G77"/>
    <mergeCell ref="F72:F77"/>
    <mergeCell ref="C126:C131"/>
    <mergeCell ref="M41:M42"/>
    <mergeCell ref="N39:N40"/>
    <mergeCell ref="N41:N42"/>
    <mergeCell ref="N24:N33"/>
    <mergeCell ref="N34:N35"/>
    <mergeCell ref="M57:M60"/>
    <mergeCell ref="D19:D55"/>
    <mergeCell ref="G19:G23"/>
    <mergeCell ref="H19:H23"/>
    <mergeCell ref="G24:G33"/>
    <mergeCell ref="H24:H33"/>
    <mergeCell ref="M19:M23"/>
    <mergeCell ref="N19:N23"/>
    <mergeCell ref="L24:L33"/>
    <mergeCell ref="M36:M39"/>
    <mergeCell ref="F36:F39"/>
    <mergeCell ref="M24:M33"/>
    <mergeCell ref="L41:L42"/>
    <mergeCell ref="L57:L60"/>
    <mergeCell ref="M50:M51"/>
    <mergeCell ref="M54:M55"/>
    <mergeCell ref="J41:J42"/>
    <mergeCell ref="D56:D71"/>
    <mergeCell ref="K57:K60"/>
    <mergeCell ref="O41:O43"/>
    <mergeCell ref="J15:J16"/>
    <mergeCell ref="K15:K16"/>
    <mergeCell ref="L15:L16"/>
    <mergeCell ref="J113:J117"/>
    <mergeCell ref="C103:C107"/>
    <mergeCell ref="I72:I77"/>
    <mergeCell ref="J62:J63"/>
    <mergeCell ref="J101:J102"/>
    <mergeCell ref="I56:I63"/>
    <mergeCell ref="J89:J90"/>
    <mergeCell ref="J97:J98"/>
    <mergeCell ref="J74:J77"/>
    <mergeCell ref="C72:C102"/>
    <mergeCell ref="D103:D107"/>
    <mergeCell ref="D72:D102"/>
    <mergeCell ref="H97:H100"/>
    <mergeCell ref="H104:H105"/>
    <mergeCell ref="E109:E117"/>
    <mergeCell ref="F109:F117"/>
    <mergeCell ref="G109:G117"/>
    <mergeCell ref="H109:H117"/>
    <mergeCell ref="C56:C71"/>
    <mergeCell ref="L54:L55"/>
    <mergeCell ref="AV15:AV17"/>
    <mergeCell ref="Y15:Y18"/>
    <mergeCell ref="Z15:Z18"/>
    <mergeCell ref="AT15:AT16"/>
    <mergeCell ref="AU15:AU16"/>
    <mergeCell ref="AT17:AT18"/>
    <mergeCell ref="AU17:AU18"/>
    <mergeCell ref="W19:W55"/>
    <mergeCell ref="X19:X55"/>
    <mergeCell ref="Y19:Y55"/>
    <mergeCell ref="Z19:Z55"/>
    <mergeCell ref="AV19:AV55"/>
    <mergeCell ref="G64:G68"/>
    <mergeCell ref="H64:H68"/>
    <mergeCell ref="E64:E68"/>
    <mergeCell ref="F64:F68"/>
    <mergeCell ref="E104:E105"/>
    <mergeCell ref="E97:E100"/>
    <mergeCell ref="F97:F100"/>
    <mergeCell ref="G97:G100"/>
    <mergeCell ref="E101:E102"/>
    <mergeCell ref="F101:F102"/>
    <mergeCell ref="G101:G102"/>
    <mergeCell ref="AW1:BA1"/>
    <mergeCell ref="A5:AU5"/>
    <mergeCell ref="G12:G14"/>
    <mergeCell ref="H12:H14"/>
    <mergeCell ref="I12:I14"/>
    <mergeCell ref="N8:N11"/>
    <mergeCell ref="N6:N7"/>
    <mergeCell ref="O6:O7"/>
    <mergeCell ref="A6:D6"/>
    <mergeCell ref="E6:H6"/>
    <mergeCell ref="D8:D11"/>
    <mergeCell ref="C8:C11"/>
    <mergeCell ref="J9:J10"/>
    <mergeCell ref="K9:K10"/>
    <mergeCell ref="L9:L10"/>
    <mergeCell ref="M9:M10"/>
    <mergeCell ref="AV8:AV11"/>
    <mergeCell ref="AV12:AV14"/>
    <mergeCell ref="AA6:AG6"/>
    <mergeCell ref="B1:AU1"/>
    <mergeCell ref="B8:B17"/>
    <mergeCell ref="A8:A17"/>
    <mergeCell ref="B3:AU3"/>
    <mergeCell ref="A1:A3"/>
    <mergeCell ref="B2:AU2"/>
    <mergeCell ref="A4:AU4"/>
    <mergeCell ref="C12:C14"/>
    <mergeCell ref="D12:D14"/>
    <mergeCell ref="I8:I11"/>
    <mergeCell ref="C15:C17"/>
    <mergeCell ref="A19:A71"/>
    <mergeCell ref="F69:F71"/>
    <mergeCell ref="G69:G71"/>
    <mergeCell ref="I69:I70"/>
    <mergeCell ref="H69:H71"/>
    <mergeCell ref="E69:E71"/>
    <mergeCell ref="E19:E23"/>
    <mergeCell ref="F19:F23"/>
    <mergeCell ref="C19:C55"/>
    <mergeCell ref="B19:B71"/>
    <mergeCell ref="I19:I43"/>
    <mergeCell ref="I52:I55"/>
    <mergeCell ref="E40:E55"/>
    <mergeCell ref="D15:D18"/>
    <mergeCell ref="E56:E63"/>
    <mergeCell ref="K62:K63"/>
    <mergeCell ref="J64:J68"/>
    <mergeCell ref="J57:J60"/>
    <mergeCell ref="AT171:AU171"/>
    <mergeCell ref="AU6:AU7"/>
    <mergeCell ref="S6:S7"/>
    <mergeCell ref="T6:T7"/>
    <mergeCell ref="J6:M6"/>
    <mergeCell ref="P6:P7"/>
    <mergeCell ref="Q6:Q7"/>
    <mergeCell ref="U6:U7"/>
    <mergeCell ref="V6:V7"/>
    <mergeCell ref="W6:Z6"/>
    <mergeCell ref="AT6:AT7"/>
    <mergeCell ref="R6:R7"/>
    <mergeCell ref="L34:L35"/>
    <mergeCell ref="M34:M35"/>
    <mergeCell ref="O12:O14"/>
    <mergeCell ref="N12:N14"/>
    <mergeCell ref="O168:O170"/>
    <mergeCell ref="O161:O167"/>
    <mergeCell ref="M15:M16"/>
    <mergeCell ref="N15:N16"/>
    <mergeCell ref="J34:J35"/>
    <mergeCell ref="L126:L127"/>
    <mergeCell ref="O15:O16"/>
    <mergeCell ref="L62:L63"/>
    <mergeCell ref="J54:J55"/>
    <mergeCell ref="K54:K55"/>
    <mergeCell ref="J24:J33"/>
    <mergeCell ref="K24:K33"/>
    <mergeCell ref="F34:F35"/>
    <mergeCell ref="G36:G39"/>
    <mergeCell ref="F40:F55"/>
    <mergeCell ref="G40:G55"/>
    <mergeCell ref="H40:H55"/>
    <mergeCell ref="G34:G35"/>
    <mergeCell ref="H34:H35"/>
    <mergeCell ref="K34:K35"/>
    <mergeCell ref="E8:E9"/>
    <mergeCell ref="F8:F9"/>
    <mergeCell ref="G8:G9"/>
    <mergeCell ref="H8:H9"/>
    <mergeCell ref="E36:E39"/>
    <mergeCell ref="E12:E14"/>
    <mergeCell ref="F12:F14"/>
    <mergeCell ref="F15:F17"/>
    <mergeCell ref="G15:G17"/>
    <mergeCell ref="H15:H17"/>
    <mergeCell ref="L19:L23"/>
    <mergeCell ref="F24:F33"/>
    <mergeCell ref="E24:E33"/>
    <mergeCell ref="I15:I17"/>
    <mergeCell ref="G169:G170"/>
    <mergeCell ref="H169:H170"/>
    <mergeCell ref="G144:G145"/>
    <mergeCell ref="I136:I140"/>
    <mergeCell ref="H144:H145"/>
    <mergeCell ref="G126:G130"/>
    <mergeCell ref="E132:E134"/>
    <mergeCell ref="H132:H134"/>
    <mergeCell ref="I132:I134"/>
    <mergeCell ref="J83:J84"/>
    <mergeCell ref="J85:J86"/>
    <mergeCell ref="J87:J88"/>
    <mergeCell ref="J95:J96"/>
    <mergeCell ref="K83:K84"/>
    <mergeCell ref="I78:I100"/>
    <mergeCell ref="I101:I102"/>
    <mergeCell ref="K81:K82"/>
    <mergeCell ref="K41:K42"/>
    <mergeCell ref="F56:F63"/>
    <mergeCell ref="I64:I68"/>
    <mergeCell ref="C123:C125"/>
    <mergeCell ref="G123:G124"/>
    <mergeCell ref="H123:H124"/>
    <mergeCell ref="I123:I125"/>
    <mergeCell ref="F123:F124"/>
    <mergeCell ref="D123:D125"/>
    <mergeCell ref="D132:D140"/>
    <mergeCell ref="D126:D131"/>
    <mergeCell ref="E126:E130"/>
    <mergeCell ref="F126:F130"/>
    <mergeCell ref="H126:H130"/>
    <mergeCell ref="F132:F133"/>
    <mergeCell ref="G132:G133"/>
    <mergeCell ref="C132:C140"/>
    <mergeCell ref="E135:E140"/>
    <mergeCell ref="G135:G140"/>
    <mergeCell ref="H135:H140"/>
    <mergeCell ref="C118:C122"/>
    <mergeCell ref="E123:E124"/>
    <mergeCell ref="H106:H107"/>
    <mergeCell ref="C109:C117"/>
    <mergeCell ref="D109:D117"/>
    <mergeCell ref="G120:G122"/>
    <mergeCell ref="H118:H119"/>
    <mergeCell ref="K99:K100"/>
    <mergeCell ref="L99:L100"/>
    <mergeCell ref="H101:H102"/>
    <mergeCell ref="E118:E119"/>
    <mergeCell ref="F118:F119"/>
    <mergeCell ref="E106:E107"/>
    <mergeCell ref="F106:F107"/>
    <mergeCell ref="G106:G107"/>
    <mergeCell ref="L109:L111"/>
    <mergeCell ref="L101:L102"/>
    <mergeCell ref="J99:J100"/>
    <mergeCell ref="J109:J111"/>
    <mergeCell ref="I109:I117"/>
    <mergeCell ref="I106:I107"/>
    <mergeCell ref="G118:G119"/>
    <mergeCell ref="E120:E122"/>
    <mergeCell ref="F120:F122"/>
    <mergeCell ref="J93:J94"/>
    <mergeCell ref="L64:L68"/>
    <mergeCell ref="M64:M68"/>
    <mergeCell ref="M79:M80"/>
    <mergeCell ref="L93:L94"/>
    <mergeCell ref="L72:L73"/>
    <mergeCell ref="M72:M73"/>
    <mergeCell ref="M74:M77"/>
    <mergeCell ref="M87:M88"/>
    <mergeCell ref="J79:J80"/>
    <mergeCell ref="J81:J82"/>
    <mergeCell ref="K64:K68"/>
    <mergeCell ref="L81:L82"/>
    <mergeCell ref="L74:L77"/>
    <mergeCell ref="L79:L80"/>
    <mergeCell ref="L83:L84"/>
    <mergeCell ref="L91:L92"/>
    <mergeCell ref="L85:L86"/>
    <mergeCell ref="L87:L88"/>
    <mergeCell ref="AV123:AV125"/>
    <mergeCell ref="AV118:AV122"/>
    <mergeCell ref="AV57:AV71"/>
    <mergeCell ref="X109:X117"/>
    <mergeCell ref="AV105:AV107"/>
    <mergeCell ref="AV72:AV103"/>
    <mergeCell ref="X72:X100"/>
    <mergeCell ref="Y72:Y100"/>
    <mergeCell ref="Z72:Z100"/>
    <mergeCell ref="Y109:Y117"/>
    <mergeCell ref="AV111:AV117"/>
    <mergeCell ref="X56:X71"/>
    <mergeCell ref="Y56:Y71"/>
    <mergeCell ref="Z56:Z71"/>
    <mergeCell ref="X104:X108"/>
    <mergeCell ref="AV157:AV170"/>
    <mergeCell ref="AV146:AV156"/>
    <mergeCell ref="O146:O147"/>
    <mergeCell ref="O144:O145"/>
    <mergeCell ref="O141:O143"/>
    <mergeCell ref="O133:O135"/>
    <mergeCell ref="W126:W131"/>
    <mergeCell ref="X126:X131"/>
    <mergeCell ref="Y126:Y131"/>
    <mergeCell ref="Z126:Z131"/>
    <mergeCell ref="W132:W140"/>
    <mergeCell ref="AV141:AV145"/>
    <mergeCell ref="AV132:AV140"/>
    <mergeCell ref="AV126:AV131"/>
    <mergeCell ref="O136:O137"/>
    <mergeCell ref="W157:W170"/>
    <mergeCell ref="Z132:Z140"/>
    <mergeCell ref="X157:X170"/>
    <mergeCell ref="Y157:Y170"/>
    <mergeCell ref="Z157:Z170"/>
    <mergeCell ref="X132:X140"/>
    <mergeCell ref="W146:W156"/>
    <mergeCell ref="X146:X156"/>
    <mergeCell ref="Y146:Y156"/>
    <mergeCell ref="X8:X11"/>
    <mergeCell ref="Y8:Y11"/>
    <mergeCell ref="Z8:Z11"/>
    <mergeCell ref="X12:X14"/>
    <mergeCell ref="Y12:Y14"/>
    <mergeCell ref="Z12:Z14"/>
    <mergeCell ref="Z109:Z117"/>
    <mergeCell ref="X118:X122"/>
    <mergeCell ref="X123:X125"/>
    <mergeCell ref="Y123:Y125"/>
    <mergeCell ref="Z123:Z125"/>
    <mergeCell ref="Y118:Y122"/>
    <mergeCell ref="Z118:Z122"/>
    <mergeCell ref="X15:X18"/>
    <mergeCell ref="Y101:Y107"/>
    <mergeCell ref="Z101:Z107"/>
    <mergeCell ref="W8:W11"/>
    <mergeCell ref="N64:N68"/>
    <mergeCell ref="O64:O68"/>
    <mergeCell ref="O72:O77"/>
    <mergeCell ref="W109:W117"/>
    <mergeCell ref="W118:W122"/>
    <mergeCell ref="W72:W100"/>
    <mergeCell ref="O8:O11"/>
    <mergeCell ref="O69:O70"/>
    <mergeCell ref="O58:O63"/>
    <mergeCell ref="O120:O121"/>
    <mergeCell ref="W56:W71"/>
    <mergeCell ref="O112:O117"/>
    <mergeCell ref="O109:O111"/>
    <mergeCell ref="O118:O119"/>
    <mergeCell ref="O78:O100"/>
    <mergeCell ref="O101:O102"/>
    <mergeCell ref="W12:W14"/>
    <mergeCell ref="W15:W18"/>
    <mergeCell ref="O39:O40"/>
    <mergeCell ref="O19:O23"/>
    <mergeCell ref="O34:O35"/>
    <mergeCell ref="O24:O33"/>
    <mergeCell ref="N78:N100"/>
    <mergeCell ref="M17:M18"/>
    <mergeCell ref="L17:L18"/>
    <mergeCell ref="E72:E77"/>
    <mergeCell ref="H72:H77"/>
    <mergeCell ref="E79:E96"/>
    <mergeCell ref="H79:H96"/>
    <mergeCell ref="K89:K90"/>
    <mergeCell ref="K91:K92"/>
    <mergeCell ref="G56:G63"/>
    <mergeCell ref="H56:H63"/>
    <mergeCell ref="J72:J73"/>
    <mergeCell ref="I44:I51"/>
    <mergeCell ref="E34:E35"/>
    <mergeCell ref="J36:J39"/>
    <mergeCell ref="K36:K39"/>
    <mergeCell ref="L36:L39"/>
    <mergeCell ref="J44:J49"/>
    <mergeCell ref="K44:K49"/>
    <mergeCell ref="L44:L49"/>
    <mergeCell ref="M44:M49"/>
    <mergeCell ref="J50:J51"/>
    <mergeCell ref="K50:K51"/>
    <mergeCell ref="J19:J23"/>
    <mergeCell ref="K19:K23"/>
    <mergeCell ref="L50:L51"/>
    <mergeCell ref="N101:N102"/>
    <mergeCell ref="N118:N119"/>
    <mergeCell ref="K113:K117"/>
    <mergeCell ref="L113:L117"/>
    <mergeCell ref="K109:K111"/>
    <mergeCell ref="M97:M98"/>
    <mergeCell ref="M81:M82"/>
    <mergeCell ref="M93:M94"/>
    <mergeCell ref="M99:M100"/>
    <mergeCell ref="M101:M102"/>
    <mergeCell ref="K95:K96"/>
    <mergeCell ref="L95:L96"/>
    <mergeCell ref="M95:M96"/>
    <mergeCell ref="M89:M90"/>
    <mergeCell ref="M91:M92"/>
    <mergeCell ref="M85:M86"/>
    <mergeCell ref="M83:M84"/>
    <mergeCell ref="L97:L98"/>
    <mergeCell ref="L89:L90"/>
    <mergeCell ref="M62:M63"/>
    <mergeCell ref="K101:K102"/>
    <mergeCell ref="N109:N111"/>
    <mergeCell ref="N112:N117"/>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DCFA-3B79-4C18-9221-E8A6F4C917E7}">
  <dimension ref="A1:AA61"/>
  <sheetViews>
    <sheetView topLeftCell="A40" workbookViewId="0">
      <selection activeCell="B56" sqref="B56:O56"/>
    </sheetView>
  </sheetViews>
  <sheetFormatPr defaultColWidth="11.375" defaultRowHeight="12.75"/>
  <cols>
    <col min="1" max="1" width="11.375" style="657"/>
    <col min="2" max="2" width="31.625" style="657" customWidth="1"/>
    <col min="3" max="3" width="28.125" style="657" customWidth="1"/>
    <col min="4" max="4" width="34.125" style="657" customWidth="1"/>
    <col min="5" max="5" width="43.25" style="657" customWidth="1"/>
    <col min="6" max="6" width="30.75" style="657" customWidth="1"/>
    <col min="7" max="8" width="24.375" style="657" customWidth="1"/>
    <col min="9" max="9" width="27.25" style="657" customWidth="1"/>
    <col min="10" max="10" width="32" style="657" customWidth="1"/>
    <col min="11" max="11" width="37.375" style="657" customWidth="1"/>
    <col min="12" max="12" width="30" style="657" customWidth="1"/>
    <col min="13" max="13" width="34.375" style="657" customWidth="1"/>
    <col min="14" max="14" width="26.875" style="657" customWidth="1"/>
    <col min="15" max="15" width="30.75" style="657" customWidth="1"/>
    <col min="16" max="16" width="22.875" style="657" customWidth="1"/>
    <col min="17" max="17" width="26.75" style="657" customWidth="1"/>
    <col min="18" max="18" width="20.625" style="657" customWidth="1"/>
    <col min="19" max="19" width="17.875" style="657" customWidth="1"/>
    <col min="20" max="20" width="21.875" style="657" customWidth="1"/>
    <col min="21" max="21" width="22.375" style="657" customWidth="1"/>
    <col min="22" max="22" width="19.875" style="657" customWidth="1"/>
    <col min="23" max="23" width="22.875" style="657" customWidth="1"/>
    <col min="24" max="24" width="18.875" style="657" customWidth="1"/>
    <col min="25" max="25" width="15.375" style="657" customWidth="1"/>
    <col min="26" max="26" width="16.75" style="657" customWidth="1"/>
    <col min="27" max="27" width="23.25" style="657" customWidth="1"/>
    <col min="28" max="16384" width="11.375" style="657"/>
  </cols>
  <sheetData>
    <row r="1" spans="1:27">
      <c r="A1" s="655"/>
      <c r="B1" s="655"/>
      <c r="C1" s="655"/>
      <c r="D1" s="656"/>
      <c r="E1" s="656"/>
      <c r="F1" s="656"/>
      <c r="G1" s="656"/>
      <c r="H1" s="656"/>
      <c r="I1" s="656"/>
      <c r="J1" s="656"/>
      <c r="K1" s="656"/>
      <c r="L1" s="656"/>
      <c r="M1" s="656"/>
      <c r="N1" s="656"/>
    </row>
    <row r="2" spans="1:27" ht="63.75">
      <c r="A2" s="655"/>
      <c r="B2" s="658" t="s">
        <v>570</v>
      </c>
      <c r="C2" s="659" t="s">
        <v>593</v>
      </c>
      <c r="D2" s="659" t="s">
        <v>571</v>
      </c>
      <c r="E2" s="659" t="s">
        <v>572</v>
      </c>
      <c r="F2" s="658" t="s">
        <v>573</v>
      </c>
      <c r="G2" s="658" t="s">
        <v>574</v>
      </c>
      <c r="H2" s="658" t="s">
        <v>594</v>
      </c>
      <c r="I2" s="658" t="s">
        <v>595</v>
      </c>
      <c r="J2" s="659" t="s">
        <v>571</v>
      </c>
      <c r="K2" s="659" t="s">
        <v>572</v>
      </c>
      <c r="L2" s="658" t="s">
        <v>596</v>
      </c>
      <c r="M2" s="658" t="s">
        <v>574</v>
      </c>
      <c r="N2" s="658" t="s">
        <v>594</v>
      </c>
      <c r="O2" s="658" t="s">
        <v>595</v>
      </c>
      <c r="P2" s="659" t="s">
        <v>571</v>
      </c>
      <c r="Q2" s="659" t="s">
        <v>572</v>
      </c>
      <c r="R2" s="658" t="s">
        <v>577</v>
      </c>
      <c r="S2" s="658" t="s">
        <v>574</v>
      </c>
      <c r="T2" s="658" t="s">
        <v>594</v>
      </c>
      <c r="U2" s="658" t="s">
        <v>595</v>
      </c>
      <c r="V2" s="716" t="s">
        <v>571</v>
      </c>
      <c r="W2" s="716" t="s">
        <v>572</v>
      </c>
      <c r="X2" s="717" t="s">
        <v>579</v>
      </c>
      <c r="Y2" s="717" t="s">
        <v>574</v>
      </c>
      <c r="Z2" s="717" t="s">
        <v>594</v>
      </c>
      <c r="AA2" s="658" t="s">
        <v>595</v>
      </c>
    </row>
    <row r="3" spans="1:27">
      <c r="A3" s="655"/>
      <c r="B3" s="658" t="s">
        <v>597</v>
      </c>
      <c r="C3" s="658">
        <f>C4+C5+C6</f>
        <v>53</v>
      </c>
      <c r="D3" s="658">
        <f t="shared" ref="D3:G3" si="0">D4+D5+D6</f>
        <v>9</v>
      </c>
      <c r="E3" s="658">
        <f t="shared" si="0"/>
        <v>0</v>
      </c>
      <c r="F3" s="658">
        <f t="shared" si="0"/>
        <v>9</v>
      </c>
      <c r="G3" s="658">
        <f t="shared" si="0"/>
        <v>5</v>
      </c>
      <c r="H3" s="658"/>
      <c r="I3" s="658"/>
      <c r="J3" s="658"/>
      <c r="K3" s="658"/>
      <c r="L3" s="693"/>
      <c r="M3" s="693"/>
      <c r="N3" s="697"/>
      <c r="O3" s="693"/>
      <c r="P3" s="658"/>
      <c r="Q3" s="658"/>
      <c r="R3" s="693"/>
      <c r="S3" s="693"/>
      <c r="T3" s="693"/>
      <c r="U3" s="693"/>
      <c r="V3" s="658"/>
      <c r="W3" s="658"/>
      <c r="X3" s="693"/>
      <c r="Y3" s="693"/>
      <c r="Z3" s="718">
        <f>AVERAGE(Z4,Z6,Z5)</f>
        <v>70.833333333333329</v>
      </c>
      <c r="AA3" s="693"/>
    </row>
    <row r="4" spans="1:27">
      <c r="A4" s="660"/>
      <c r="B4" s="661" t="s">
        <v>581</v>
      </c>
      <c r="C4" s="661">
        <v>18</v>
      </c>
      <c r="D4" s="662">
        <v>3</v>
      </c>
      <c r="E4" s="662">
        <v>0</v>
      </c>
      <c r="F4" s="662">
        <f>E4+D4</f>
        <v>3</v>
      </c>
      <c r="G4" s="662">
        <v>0</v>
      </c>
      <c r="H4" s="662">
        <f>G4/F4*100</f>
        <v>0</v>
      </c>
      <c r="I4" s="662">
        <f>G4/C4*100</f>
        <v>0</v>
      </c>
      <c r="J4" s="662">
        <v>3</v>
      </c>
      <c r="K4" s="662">
        <v>0</v>
      </c>
      <c r="L4" s="663">
        <f>K4+J4</f>
        <v>3</v>
      </c>
      <c r="M4" s="662">
        <v>0</v>
      </c>
      <c r="N4" s="663">
        <f>M4/L4*100</f>
        <v>0</v>
      </c>
      <c r="O4" s="662">
        <f>M4/C4*100</f>
        <v>0</v>
      </c>
      <c r="P4" s="662">
        <v>4</v>
      </c>
      <c r="Q4" s="662">
        <v>0</v>
      </c>
      <c r="R4" s="663">
        <v>4</v>
      </c>
      <c r="S4" s="662">
        <v>1</v>
      </c>
      <c r="T4" s="663">
        <f>S4/R4*100</f>
        <v>25</v>
      </c>
      <c r="U4" s="662">
        <f>S4/C4*100</f>
        <v>5.5555555555555554</v>
      </c>
      <c r="V4" s="662">
        <v>8</v>
      </c>
      <c r="W4" s="662">
        <v>0</v>
      </c>
      <c r="X4" s="663">
        <v>8</v>
      </c>
      <c r="Y4" s="662">
        <v>1</v>
      </c>
      <c r="Z4" s="663">
        <f>Y4/X4*100</f>
        <v>12.5</v>
      </c>
      <c r="AA4" s="662"/>
    </row>
    <row r="5" spans="1:27">
      <c r="A5" s="660"/>
      <c r="B5" s="661" t="s">
        <v>582</v>
      </c>
      <c r="C5" s="661">
        <v>23</v>
      </c>
      <c r="D5" s="662">
        <v>4</v>
      </c>
      <c r="E5" s="664">
        <v>0</v>
      </c>
      <c r="F5" s="662">
        <f t="shared" ref="F5" si="1">E5+D5</f>
        <v>4</v>
      </c>
      <c r="G5" s="664">
        <v>4</v>
      </c>
      <c r="H5" s="662">
        <f t="shared" ref="H5:H6" si="2">G5/F5*100</f>
        <v>100</v>
      </c>
      <c r="I5" s="662">
        <f t="shared" ref="I5:I6" si="3">G5/C5*100</f>
        <v>17.391304347826086</v>
      </c>
      <c r="J5" s="662">
        <v>6</v>
      </c>
      <c r="K5" s="662">
        <v>0</v>
      </c>
      <c r="L5" s="663">
        <f t="shared" ref="L5:L6" si="4">K5+J5</f>
        <v>6</v>
      </c>
      <c r="M5" s="662">
        <v>6</v>
      </c>
      <c r="N5" s="663">
        <f>M5/L5*100</f>
        <v>100</v>
      </c>
      <c r="O5" s="662">
        <f t="shared" ref="O5:O6" si="5">M5/C5*100</f>
        <v>26.086956521739129</v>
      </c>
      <c r="P5" s="662">
        <v>6</v>
      </c>
      <c r="Q5" s="662">
        <v>0</v>
      </c>
      <c r="R5" s="663">
        <v>6</v>
      </c>
      <c r="S5" s="662">
        <v>6</v>
      </c>
      <c r="T5" s="663">
        <f>S5/R5*100</f>
        <v>100</v>
      </c>
      <c r="U5" s="662">
        <f t="shared" ref="U5:U6" si="6">S5/C5*100</f>
        <v>26.086956521739129</v>
      </c>
      <c r="V5" s="662">
        <v>7</v>
      </c>
      <c r="W5" s="663">
        <v>0</v>
      </c>
      <c r="X5" s="663">
        <v>7</v>
      </c>
      <c r="Y5" s="663">
        <v>7</v>
      </c>
      <c r="Z5" s="663">
        <f t="shared" ref="Z5:Z6" si="7">Y5/X5*100</f>
        <v>100</v>
      </c>
      <c r="AA5" s="665"/>
    </row>
    <row r="6" spans="1:27">
      <c r="A6" s="660"/>
      <c r="B6" s="661" t="s">
        <v>583</v>
      </c>
      <c r="C6" s="660">
        <v>12</v>
      </c>
      <c r="D6" s="662">
        <v>2</v>
      </c>
      <c r="E6" s="664">
        <v>0</v>
      </c>
      <c r="F6" s="662">
        <f>E6+D6</f>
        <v>2</v>
      </c>
      <c r="G6" s="664">
        <v>1</v>
      </c>
      <c r="H6" s="662">
        <f t="shared" si="2"/>
        <v>50</v>
      </c>
      <c r="I6" s="662">
        <f t="shared" si="3"/>
        <v>8.3333333333333321</v>
      </c>
      <c r="J6" s="662">
        <v>4</v>
      </c>
      <c r="K6" s="662">
        <v>0</v>
      </c>
      <c r="L6" s="663">
        <f t="shared" si="4"/>
        <v>4</v>
      </c>
      <c r="M6" s="662">
        <v>4</v>
      </c>
      <c r="N6" s="663">
        <f>M6/L6*100</f>
        <v>100</v>
      </c>
      <c r="O6" s="662">
        <f t="shared" si="5"/>
        <v>33.333333333333329</v>
      </c>
      <c r="P6" s="662">
        <v>2</v>
      </c>
      <c r="Q6" s="662">
        <v>0</v>
      </c>
      <c r="R6" s="663">
        <v>2</v>
      </c>
      <c r="S6" s="662">
        <v>2</v>
      </c>
      <c r="T6" s="663">
        <f>S6/R6*100</f>
        <v>100</v>
      </c>
      <c r="U6" s="662">
        <f t="shared" si="6"/>
        <v>16.666666666666664</v>
      </c>
      <c r="V6" s="662">
        <v>4</v>
      </c>
      <c r="W6" s="663">
        <v>0</v>
      </c>
      <c r="X6" s="663">
        <v>4</v>
      </c>
      <c r="Y6" s="663">
        <v>4</v>
      </c>
      <c r="Z6" s="663">
        <f t="shared" si="7"/>
        <v>100</v>
      </c>
      <c r="AA6" s="665"/>
    </row>
    <row r="7" spans="1:27" ht="12.75" customHeight="1">
      <c r="A7" s="660"/>
      <c r="B7" s="925" t="s">
        <v>598</v>
      </c>
      <c r="C7" s="926"/>
      <c r="D7" s="926"/>
      <c r="E7" s="926"/>
      <c r="F7" s="926"/>
      <c r="G7" s="927"/>
      <c r="H7" s="694">
        <f>AVERAGE(H4:H6)</f>
        <v>50</v>
      </c>
      <c r="I7" s="694">
        <f>AVERAGE(I4:I6)</f>
        <v>8.57487922705314</v>
      </c>
      <c r="J7" s="698" t="s">
        <v>599</v>
      </c>
      <c r="K7" s="699"/>
      <c r="L7" s="700">
        <f>L6+L5+L4</f>
        <v>13</v>
      </c>
      <c r="M7" s="700">
        <f>M6+M5+M4</f>
        <v>10</v>
      </c>
      <c r="N7" s="694">
        <f>AVERAGE(N4:N6)</f>
        <v>66.666666666666671</v>
      </c>
      <c r="O7" s="694">
        <f>AVERAGE(O4:O6)</f>
        <v>19.80676328502415</v>
      </c>
      <c r="P7" s="922" t="s">
        <v>600</v>
      </c>
      <c r="Q7" s="923"/>
      <c r="R7" s="700">
        <f>R6+R5+R4</f>
        <v>12</v>
      </c>
      <c r="S7" s="700">
        <f>S6+S5+S4</f>
        <v>9</v>
      </c>
      <c r="T7" s="694">
        <f>AVERAGE(T4:T6)</f>
        <v>75</v>
      </c>
      <c r="U7" s="694">
        <f>AVERAGE(U4:U6)</f>
        <v>16.103059581320448</v>
      </c>
      <c r="V7" s="922" t="s">
        <v>601</v>
      </c>
      <c r="W7" s="923"/>
      <c r="X7" s="923"/>
      <c r="Y7" s="923"/>
      <c r="Z7" s="923"/>
      <c r="AA7" s="924"/>
    </row>
    <row r="8" spans="1:27">
      <c r="A8" s="660"/>
      <c r="B8" s="660"/>
      <c r="C8" s="660"/>
      <c r="D8" s="656"/>
      <c r="E8" s="656"/>
      <c r="F8" s="656"/>
      <c r="G8" s="656"/>
      <c r="H8" s="656"/>
      <c r="I8" s="656"/>
      <c r="J8" s="656"/>
      <c r="K8" s="656"/>
      <c r="L8" s="656"/>
      <c r="M8" s="656"/>
      <c r="N8" s="656"/>
      <c r="O8" s="656"/>
    </row>
    <row r="9" spans="1:27" ht="63.75">
      <c r="A9" s="660"/>
      <c r="B9" s="658" t="s">
        <v>584</v>
      </c>
      <c r="C9" s="659" t="s">
        <v>593</v>
      </c>
      <c r="D9" s="659" t="s">
        <v>571</v>
      </c>
      <c r="E9" s="659" t="s">
        <v>572</v>
      </c>
      <c r="F9" s="658" t="s">
        <v>573</v>
      </c>
      <c r="G9" s="658" t="s">
        <v>574</v>
      </c>
      <c r="H9" s="658" t="s">
        <v>594</v>
      </c>
      <c r="I9" s="658" t="s">
        <v>595</v>
      </c>
      <c r="J9" s="659" t="s">
        <v>571</v>
      </c>
      <c r="K9" s="659" t="s">
        <v>572</v>
      </c>
      <c r="L9" s="658" t="s">
        <v>596</v>
      </c>
      <c r="M9" s="658" t="s">
        <v>574</v>
      </c>
      <c r="N9" s="658" t="s">
        <v>594</v>
      </c>
      <c r="O9" s="658" t="s">
        <v>595</v>
      </c>
      <c r="P9" s="659" t="s">
        <v>571</v>
      </c>
      <c r="Q9" s="659" t="s">
        <v>572</v>
      </c>
      <c r="R9" s="658" t="s">
        <v>577</v>
      </c>
      <c r="S9" s="658" t="s">
        <v>574</v>
      </c>
      <c r="T9" s="658" t="s">
        <v>594</v>
      </c>
      <c r="U9" s="658" t="s">
        <v>595</v>
      </c>
      <c r="V9" s="716" t="s">
        <v>571</v>
      </c>
      <c r="W9" s="716" t="s">
        <v>572</v>
      </c>
      <c r="X9" s="717" t="s">
        <v>579</v>
      </c>
      <c r="Y9" s="717" t="s">
        <v>574</v>
      </c>
      <c r="Z9" s="717" t="s">
        <v>594</v>
      </c>
      <c r="AA9" s="658" t="s">
        <v>595</v>
      </c>
    </row>
    <row r="10" spans="1:27">
      <c r="A10" s="660"/>
      <c r="B10" s="658" t="s">
        <v>597</v>
      </c>
      <c r="C10" s="658">
        <f>C11+C12</f>
        <v>0</v>
      </c>
      <c r="D10" s="658">
        <f t="shared" ref="D10:G10" si="8">D11+D12</f>
        <v>0</v>
      </c>
      <c r="E10" s="658">
        <f t="shared" si="8"/>
        <v>0</v>
      </c>
      <c r="F10" s="658">
        <f t="shared" si="8"/>
        <v>0</v>
      </c>
      <c r="G10" s="658">
        <f t="shared" si="8"/>
        <v>0</v>
      </c>
      <c r="H10" s="658"/>
      <c r="I10" s="658"/>
      <c r="J10" s="658"/>
      <c r="K10" s="658"/>
      <c r="L10" s="693"/>
      <c r="M10" s="693"/>
      <c r="N10" s="693"/>
      <c r="O10" s="693"/>
      <c r="P10" s="658"/>
      <c r="Q10" s="658"/>
      <c r="R10" s="693"/>
      <c r="S10" s="693"/>
      <c r="T10" s="693"/>
      <c r="U10" s="693"/>
      <c r="V10" s="658"/>
      <c r="W10" s="658"/>
      <c r="X10" s="693"/>
      <c r="Y10" s="693"/>
      <c r="Z10" s="718" t="e">
        <f>AVERAGE(Z11,Z13,Z12)</f>
        <v>#DIV/0!</v>
      </c>
      <c r="AA10" s="693"/>
    </row>
    <row r="11" spans="1:27">
      <c r="A11" s="660"/>
      <c r="B11" s="661" t="s">
        <v>581</v>
      </c>
      <c r="C11" s="661"/>
      <c r="D11" s="662"/>
      <c r="E11" s="662"/>
      <c r="F11" s="662">
        <f>E11+D11</f>
        <v>0</v>
      </c>
      <c r="G11" s="662"/>
      <c r="H11" s="662" t="e">
        <f t="shared" ref="H11:H12" si="9">G11/F11*100</f>
        <v>#DIV/0!</v>
      </c>
      <c r="I11" s="662" t="e">
        <f t="shared" ref="I11:I12" si="10">G11/C11*100</f>
        <v>#DIV/0!</v>
      </c>
      <c r="J11" s="662"/>
      <c r="K11" s="662"/>
      <c r="L11" s="663">
        <f>J11+K11</f>
        <v>0</v>
      </c>
      <c r="M11" s="662"/>
      <c r="N11" s="663" t="e">
        <f>M11/L11*100</f>
        <v>#DIV/0!</v>
      </c>
      <c r="O11" s="662" t="e">
        <f t="shared" ref="O11:O12" si="11">M11/C11*100</f>
        <v>#DIV/0!</v>
      </c>
      <c r="P11" s="662"/>
      <c r="Q11" s="662"/>
      <c r="R11" s="663"/>
      <c r="S11" s="662"/>
      <c r="T11" s="663"/>
      <c r="U11" s="662" t="e">
        <f>S11/C11*100</f>
        <v>#DIV/0!</v>
      </c>
      <c r="V11" s="662"/>
      <c r="W11" s="662"/>
      <c r="X11" s="663"/>
      <c r="Y11" s="662"/>
      <c r="Z11" s="662"/>
      <c r="AA11" s="662"/>
    </row>
    <row r="12" spans="1:27">
      <c r="A12" s="660"/>
      <c r="B12" s="661" t="s">
        <v>582</v>
      </c>
      <c r="C12" s="661"/>
      <c r="D12" s="662"/>
      <c r="E12" s="662"/>
      <c r="F12" s="662">
        <f>E12+D12</f>
        <v>0</v>
      </c>
      <c r="G12" s="662"/>
      <c r="H12" s="662" t="e">
        <f t="shared" si="9"/>
        <v>#DIV/0!</v>
      </c>
      <c r="I12" s="662" t="e">
        <f t="shared" si="10"/>
        <v>#DIV/0!</v>
      </c>
      <c r="J12" s="662"/>
      <c r="K12" s="662"/>
      <c r="L12" s="662">
        <f>K12+J12</f>
        <v>0</v>
      </c>
      <c r="M12" s="662"/>
      <c r="N12" s="663" t="e">
        <f>M12/L12*100</f>
        <v>#DIV/0!</v>
      </c>
      <c r="O12" s="662" t="e">
        <f t="shared" si="11"/>
        <v>#DIV/0!</v>
      </c>
      <c r="P12" s="662"/>
      <c r="Q12" s="662"/>
      <c r="R12" s="662"/>
      <c r="S12" s="662"/>
      <c r="T12" s="663"/>
      <c r="U12" s="662" t="e">
        <f>S12/C12*100</f>
        <v>#DIV/0!</v>
      </c>
      <c r="V12" s="662"/>
      <c r="W12" s="662"/>
      <c r="X12" s="663"/>
      <c r="Y12" s="662"/>
      <c r="Z12" s="662"/>
      <c r="AA12" s="662"/>
    </row>
    <row r="13" spans="1:27" ht="12.75" customHeight="1">
      <c r="A13" s="660"/>
      <c r="B13" s="925" t="s">
        <v>598</v>
      </c>
      <c r="C13" s="926"/>
      <c r="D13" s="926"/>
      <c r="E13" s="926"/>
      <c r="F13" s="926"/>
      <c r="G13" s="927"/>
      <c r="H13" s="694" t="e">
        <f>AVERAGE(H11:H12)</f>
        <v>#DIV/0!</v>
      </c>
      <c r="I13" s="694" t="e">
        <f>AVERAGE(I11:I12)</f>
        <v>#DIV/0!</v>
      </c>
      <c r="J13" s="698" t="s">
        <v>599</v>
      </c>
      <c r="K13" s="699"/>
      <c r="L13" s="700">
        <f>L12+L11+L10</f>
        <v>0</v>
      </c>
      <c r="M13" s="700">
        <f>M12+M11+M10</f>
        <v>0</v>
      </c>
      <c r="N13" s="694" t="e">
        <f>AVERAGE(N10:N12)</f>
        <v>#DIV/0!</v>
      </c>
      <c r="O13" s="694" t="e">
        <f>AVERAGE(O10:O12)</f>
        <v>#DIV/0!</v>
      </c>
      <c r="P13" s="922" t="s">
        <v>600</v>
      </c>
      <c r="Q13" s="923"/>
      <c r="R13" s="700">
        <f>R12+R11+R10</f>
        <v>0</v>
      </c>
      <c r="S13" s="700">
        <f>S12+S11+S10</f>
        <v>0</v>
      </c>
      <c r="T13" s="694" t="e">
        <f>AVERAGE(T10:T12)</f>
        <v>#DIV/0!</v>
      </c>
      <c r="U13" s="694" t="e">
        <f>AVERAGE(U10:U12)</f>
        <v>#DIV/0!</v>
      </c>
      <c r="V13" s="922" t="s">
        <v>601</v>
      </c>
      <c r="W13" s="923"/>
      <c r="X13" s="923"/>
      <c r="Y13" s="923"/>
      <c r="Z13" s="923"/>
      <c r="AA13" s="924"/>
    </row>
    <row r="14" spans="1:27">
      <c r="A14" s="660"/>
      <c r="B14" s="660"/>
      <c r="C14" s="660"/>
      <c r="D14" s="656"/>
      <c r="E14" s="655"/>
      <c r="F14" s="655"/>
      <c r="G14" s="655"/>
      <c r="H14" s="655"/>
      <c r="I14" s="655"/>
      <c r="J14" s="655"/>
      <c r="K14" s="655"/>
      <c r="L14" s="655"/>
      <c r="M14" s="655"/>
      <c r="N14" s="655"/>
      <c r="O14" s="655"/>
    </row>
    <row r="15" spans="1:27" ht="63.75">
      <c r="A15" s="660"/>
      <c r="B15" s="658" t="s">
        <v>585</v>
      </c>
      <c r="C15" s="659" t="s">
        <v>593</v>
      </c>
      <c r="D15" s="659" t="s">
        <v>571</v>
      </c>
      <c r="E15" s="659" t="s">
        <v>572</v>
      </c>
      <c r="F15" s="658" t="s">
        <v>573</v>
      </c>
      <c r="G15" s="658" t="s">
        <v>574</v>
      </c>
      <c r="H15" s="658" t="s">
        <v>594</v>
      </c>
      <c r="I15" s="658" t="s">
        <v>595</v>
      </c>
      <c r="J15" s="659" t="s">
        <v>571</v>
      </c>
      <c r="K15" s="659" t="s">
        <v>572</v>
      </c>
      <c r="L15" s="658" t="s">
        <v>596</v>
      </c>
      <c r="M15" s="658" t="s">
        <v>574</v>
      </c>
      <c r="N15" s="658" t="s">
        <v>594</v>
      </c>
      <c r="O15" s="658" t="s">
        <v>595</v>
      </c>
      <c r="P15" s="659" t="s">
        <v>571</v>
      </c>
      <c r="Q15" s="659" t="s">
        <v>572</v>
      </c>
      <c r="R15" s="658" t="s">
        <v>577</v>
      </c>
      <c r="S15" s="658" t="s">
        <v>574</v>
      </c>
      <c r="T15" s="658" t="s">
        <v>594</v>
      </c>
      <c r="U15" s="658" t="s">
        <v>595</v>
      </c>
      <c r="V15" s="716" t="s">
        <v>571</v>
      </c>
      <c r="W15" s="716" t="s">
        <v>572</v>
      </c>
      <c r="X15" s="717" t="s">
        <v>579</v>
      </c>
      <c r="Y15" s="717" t="s">
        <v>574</v>
      </c>
      <c r="Z15" s="717" t="s">
        <v>594</v>
      </c>
      <c r="AA15" s="658" t="s">
        <v>595</v>
      </c>
    </row>
    <row r="16" spans="1:27">
      <c r="A16" s="660"/>
      <c r="B16" s="658" t="s">
        <v>597</v>
      </c>
      <c r="C16" s="658">
        <f>C17+C18</f>
        <v>0</v>
      </c>
      <c r="D16" s="658">
        <f t="shared" ref="D16:G16" si="12">D17+D18</f>
        <v>0</v>
      </c>
      <c r="E16" s="658">
        <f t="shared" si="12"/>
        <v>0</v>
      </c>
      <c r="F16" s="658">
        <f t="shared" si="12"/>
        <v>0</v>
      </c>
      <c r="G16" s="658">
        <f t="shared" si="12"/>
        <v>0</v>
      </c>
      <c r="H16" s="658"/>
      <c r="I16" s="658"/>
      <c r="J16" s="658"/>
      <c r="K16" s="658"/>
      <c r="L16" s="693"/>
      <c r="M16" s="693"/>
      <c r="N16" s="693"/>
      <c r="O16" s="693"/>
      <c r="P16" s="658"/>
      <c r="Q16" s="658"/>
      <c r="R16" s="693"/>
      <c r="S16" s="693"/>
      <c r="T16" s="693"/>
      <c r="U16" s="693"/>
      <c r="V16" s="658"/>
      <c r="W16" s="658"/>
      <c r="X16" s="693"/>
      <c r="Y16" s="693"/>
      <c r="Z16" s="718" t="e">
        <f>AVERAGE(Z17,Z19,Z18)</f>
        <v>#DIV/0!</v>
      </c>
      <c r="AA16" s="693"/>
    </row>
    <row r="17" spans="1:27">
      <c r="A17" s="660"/>
      <c r="B17" s="661" t="s">
        <v>581</v>
      </c>
      <c r="C17" s="661"/>
      <c r="D17" s="662"/>
      <c r="E17" s="662"/>
      <c r="F17" s="662"/>
      <c r="G17" s="662"/>
      <c r="H17" s="662"/>
      <c r="I17" s="662"/>
      <c r="J17" s="662"/>
      <c r="K17" s="662"/>
      <c r="L17" s="663"/>
      <c r="M17" s="662"/>
      <c r="N17" s="663"/>
      <c r="O17" s="662"/>
      <c r="P17" s="662"/>
      <c r="Q17" s="662"/>
      <c r="R17" s="663"/>
      <c r="S17" s="662"/>
      <c r="T17" s="663"/>
      <c r="U17" s="662"/>
      <c r="V17" s="662"/>
      <c r="W17" s="662"/>
      <c r="X17" s="663"/>
      <c r="Y17" s="662"/>
      <c r="Z17" s="663"/>
      <c r="AA17" s="662"/>
    </row>
    <row r="18" spans="1:27">
      <c r="A18" s="660"/>
      <c r="B18" s="661" t="s">
        <v>582</v>
      </c>
      <c r="C18" s="661"/>
      <c r="D18" s="662"/>
      <c r="E18" s="662"/>
      <c r="F18" s="662"/>
      <c r="G18" s="662"/>
      <c r="H18" s="662"/>
      <c r="I18" s="662"/>
      <c r="J18" s="662"/>
      <c r="K18" s="662"/>
      <c r="L18" s="662"/>
      <c r="M18" s="662"/>
      <c r="N18" s="663"/>
      <c r="O18" s="662"/>
      <c r="P18" s="662"/>
      <c r="Q18" s="662"/>
      <c r="R18" s="662"/>
      <c r="S18" s="662"/>
      <c r="T18" s="663"/>
      <c r="U18" s="662"/>
      <c r="V18" s="662"/>
      <c r="W18" s="662"/>
      <c r="X18" s="663"/>
      <c r="Y18" s="662"/>
      <c r="Z18" s="663"/>
      <c r="AA18" s="662"/>
    </row>
    <row r="19" spans="1:27" ht="12.75" customHeight="1">
      <c r="A19" s="660"/>
      <c r="B19" s="925" t="s">
        <v>598</v>
      </c>
      <c r="C19" s="926"/>
      <c r="D19" s="926"/>
      <c r="E19" s="926"/>
      <c r="F19" s="926"/>
      <c r="G19" s="927"/>
      <c r="H19" s="694" t="e">
        <f>AVERAGE(H17:H18)</f>
        <v>#DIV/0!</v>
      </c>
      <c r="I19" s="694" t="e">
        <f>AVERAGE(I17:I18)</f>
        <v>#DIV/0!</v>
      </c>
      <c r="J19" s="698" t="s">
        <v>599</v>
      </c>
      <c r="K19" s="699"/>
      <c r="L19" s="700">
        <f>L18+L17+L16</f>
        <v>0</v>
      </c>
      <c r="M19" s="700">
        <f>M18+M17+M16</f>
        <v>0</v>
      </c>
      <c r="N19" s="694" t="e">
        <f>AVERAGE(N16:N18)</f>
        <v>#DIV/0!</v>
      </c>
      <c r="O19" s="694" t="e">
        <f>AVERAGE(O16:O18)</f>
        <v>#DIV/0!</v>
      </c>
      <c r="P19" s="922" t="s">
        <v>600</v>
      </c>
      <c r="Q19" s="923"/>
      <c r="R19" s="700">
        <f>R18+R17+R16</f>
        <v>0</v>
      </c>
      <c r="S19" s="700">
        <f>S18+S17+S16</f>
        <v>0</v>
      </c>
      <c r="T19" s="694" t="e">
        <f>AVERAGE(T16:T18)</f>
        <v>#DIV/0!</v>
      </c>
      <c r="U19" s="694" t="e">
        <f>AVERAGE(U16:U18)</f>
        <v>#DIV/0!</v>
      </c>
      <c r="V19" s="922" t="s">
        <v>601</v>
      </c>
      <c r="W19" s="923"/>
      <c r="X19" s="923"/>
      <c r="Y19" s="923"/>
      <c r="Z19" s="923"/>
      <c r="AA19" s="924"/>
    </row>
    <row r="20" spans="1:27">
      <c r="A20" s="660"/>
      <c r="B20" s="660"/>
      <c r="C20" s="660"/>
      <c r="D20" s="656"/>
      <c r="E20" s="666"/>
      <c r="F20" s="666"/>
      <c r="G20" s="666"/>
      <c r="H20" s="666"/>
      <c r="I20" s="666"/>
      <c r="J20" s="666"/>
      <c r="K20" s="666"/>
      <c r="L20" s="666"/>
      <c r="M20" s="666"/>
      <c r="N20" s="666"/>
      <c r="O20" s="666"/>
    </row>
    <row r="21" spans="1:27" ht="63.75">
      <c r="A21" s="660"/>
      <c r="B21" s="658" t="s">
        <v>586</v>
      </c>
      <c r="C21" s="659" t="s">
        <v>593</v>
      </c>
      <c r="D21" s="659" t="s">
        <v>571</v>
      </c>
      <c r="E21" s="659" t="s">
        <v>572</v>
      </c>
      <c r="F21" s="658" t="s">
        <v>573</v>
      </c>
      <c r="G21" s="658" t="s">
        <v>574</v>
      </c>
      <c r="H21" s="658" t="s">
        <v>594</v>
      </c>
      <c r="I21" s="658" t="s">
        <v>595</v>
      </c>
      <c r="J21" s="659" t="s">
        <v>571</v>
      </c>
      <c r="K21" s="659" t="s">
        <v>572</v>
      </c>
      <c r="L21" s="658" t="s">
        <v>596</v>
      </c>
      <c r="M21" s="658" t="s">
        <v>574</v>
      </c>
      <c r="N21" s="658" t="s">
        <v>594</v>
      </c>
      <c r="O21" s="658" t="s">
        <v>595</v>
      </c>
      <c r="P21" s="659" t="s">
        <v>571</v>
      </c>
      <c r="Q21" s="659" t="s">
        <v>572</v>
      </c>
      <c r="R21" s="658" t="s">
        <v>577</v>
      </c>
      <c r="S21" s="658" t="s">
        <v>574</v>
      </c>
      <c r="T21" s="658" t="s">
        <v>594</v>
      </c>
      <c r="U21" s="658" t="s">
        <v>595</v>
      </c>
      <c r="V21" s="716" t="s">
        <v>571</v>
      </c>
      <c r="W21" s="716" t="s">
        <v>572</v>
      </c>
      <c r="X21" s="717" t="s">
        <v>579</v>
      </c>
      <c r="Y21" s="717" t="s">
        <v>574</v>
      </c>
      <c r="Z21" s="717" t="s">
        <v>594</v>
      </c>
      <c r="AA21" s="658" t="s">
        <v>595</v>
      </c>
    </row>
    <row r="22" spans="1:27">
      <c r="A22" s="660"/>
      <c r="B22" s="658" t="s">
        <v>597</v>
      </c>
      <c r="C22" s="658">
        <f>C23+C24+C25+C26</f>
        <v>0</v>
      </c>
      <c r="D22" s="658">
        <f t="shared" ref="D22:G22" si="13">D23+D24+D25+D26</f>
        <v>0</v>
      </c>
      <c r="E22" s="658">
        <f t="shared" si="13"/>
        <v>0</v>
      </c>
      <c r="F22" s="658">
        <f t="shared" si="13"/>
        <v>0</v>
      </c>
      <c r="G22" s="658">
        <f t="shared" si="13"/>
        <v>0</v>
      </c>
      <c r="H22" s="658"/>
      <c r="I22" s="658"/>
      <c r="J22" s="658"/>
      <c r="K22" s="658"/>
      <c r="L22" s="693"/>
      <c r="M22" s="693"/>
      <c r="N22" s="693"/>
      <c r="O22" s="693"/>
      <c r="P22" s="658"/>
      <c r="Q22" s="658"/>
      <c r="R22" s="693"/>
      <c r="S22" s="693"/>
      <c r="T22" s="693"/>
      <c r="U22" s="693"/>
      <c r="V22" s="658"/>
      <c r="W22" s="658"/>
      <c r="X22" s="693"/>
      <c r="Y22" s="693"/>
      <c r="Z22" s="693"/>
      <c r="AA22" s="693"/>
    </row>
    <row r="23" spans="1:27">
      <c r="A23" s="660"/>
      <c r="B23" s="661" t="s">
        <v>581</v>
      </c>
      <c r="C23" s="661"/>
      <c r="D23" s="662"/>
      <c r="E23" s="662"/>
      <c r="F23" s="662"/>
      <c r="G23" s="662"/>
      <c r="H23" s="662"/>
      <c r="I23" s="662"/>
      <c r="J23" s="662"/>
      <c r="K23" s="662"/>
      <c r="L23" s="662"/>
      <c r="M23" s="662"/>
      <c r="N23" s="663"/>
      <c r="O23" s="662"/>
      <c r="P23" s="662"/>
      <c r="Q23" s="662"/>
      <c r="R23" s="663"/>
      <c r="S23" s="662"/>
      <c r="T23" s="663"/>
      <c r="U23" s="662"/>
      <c r="V23" s="662"/>
      <c r="W23" s="662"/>
      <c r="X23" s="663"/>
      <c r="Y23" s="662"/>
      <c r="Z23" s="663"/>
      <c r="AA23" s="662"/>
    </row>
    <row r="24" spans="1:27">
      <c r="A24" s="660"/>
      <c r="B24" s="661" t="s">
        <v>582</v>
      </c>
      <c r="C24" s="661"/>
      <c r="D24" s="662"/>
      <c r="E24" s="662"/>
      <c r="F24" s="662"/>
      <c r="G24" s="662"/>
      <c r="H24" s="662"/>
      <c r="I24" s="662"/>
      <c r="J24" s="662"/>
      <c r="K24" s="662"/>
      <c r="L24" s="662"/>
      <c r="M24" s="662"/>
      <c r="N24" s="663"/>
      <c r="O24" s="662"/>
      <c r="P24" s="662"/>
      <c r="Q24" s="662"/>
      <c r="R24" s="662"/>
      <c r="S24" s="662"/>
      <c r="T24" s="663"/>
      <c r="U24" s="662"/>
      <c r="V24" s="662"/>
      <c r="W24" s="662"/>
      <c r="X24" s="663"/>
      <c r="Y24" s="662"/>
      <c r="Z24" s="663"/>
      <c r="AA24" s="662"/>
    </row>
    <row r="25" spans="1:27">
      <c r="A25" s="660"/>
      <c r="B25" s="661" t="s">
        <v>583</v>
      </c>
      <c r="C25" s="661"/>
      <c r="D25" s="662"/>
      <c r="E25" s="662"/>
      <c r="F25" s="662"/>
      <c r="G25" s="662"/>
      <c r="H25" s="662"/>
      <c r="I25" s="662"/>
      <c r="J25" s="662"/>
      <c r="K25" s="662"/>
      <c r="L25" s="662"/>
      <c r="M25" s="662"/>
      <c r="N25" s="663"/>
      <c r="O25" s="662"/>
      <c r="P25" s="662"/>
      <c r="Q25" s="662"/>
      <c r="R25" s="662"/>
      <c r="S25" s="662"/>
      <c r="T25" s="663"/>
      <c r="U25" s="662"/>
      <c r="V25" s="662"/>
      <c r="W25" s="662"/>
      <c r="X25" s="662"/>
      <c r="Y25" s="662"/>
      <c r="Z25" s="662"/>
      <c r="AA25" s="662"/>
    </row>
    <row r="26" spans="1:27">
      <c r="A26" s="660"/>
      <c r="B26" s="661" t="s">
        <v>588</v>
      </c>
      <c r="C26" s="661"/>
      <c r="D26" s="662"/>
      <c r="E26" s="662"/>
      <c r="F26" s="662"/>
      <c r="G26" s="662"/>
      <c r="H26" s="662"/>
      <c r="I26" s="662"/>
      <c r="J26" s="662"/>
      <c r="K26" s="662"/>
      <c r="L26" s="662"/>
      <c r="M26" s="662"/>
      <c r="N26" s="663"/>
      <c r="O26" s="662"/>
      <c r="P26" s="662"/>
      <c r="Q26" s="662"/>
      <c r="R26" s="662"/>
      <c r="S26" s="662"/>
      <c r="T26" s="663"/>
      <c r="U26" s="662"/>
      <c r="V26" s="662"/>
      <c r="W26" s="662"/>
      <c r="X26" s="662"/>
      <c r="Y26" s="662"/>
      <c r="Z26" s="662"/>
      <c r="AA26" s="662"/>
    </row>
    <row r="27" spans="1:27" ht="12.75" customHeight="1">
      <c r="A27" s="660"/>
      <c r="B27" s="925" t="s">
        <v>598</v>
      </c>
      <c r="C27" s="926"/>
      <c r="D27" s="926"/>
      <c r="E27" s="926"/>
      <c r="F27" s="926"/>
      <c r="G27" s="927"/>
      <c r="H27" s="694" t="e">
        <f>AVERAGE(H23:H26)</f>
        <v>#DIV/0!</v>
      </c>
      <c r="I27" s="694" t="e">
        <f>AVERAGE(I23:I26)</f>
        <v>#DIV/0!</v>
      </c>
      <c r="J27" s="698" t="s">
        <v>599</v>
      </c>
      <c r="K27" s="699"/>
      <c r="L27" s="700">
        <f>L26+L25+L24</f>
        <v>0</v>
      </c>
      <c r="M27" s="700">
        <f>M26+M25+M24</f>
        <v>0</v>
      </c>
      <c r="N27" s="694" t="e">
        <f>AVERAGE(N24:N26)</f>
        <v>#DIV/0!</v>
      </c>
      <c r="O27" s="694" t="e">
        <f>AVERAGE(O24:O26)</f>
        <v>#DIV/0!</v>
      </c>
      <c r="P27" s="922" t="s">
        <v>600</v>
      </c>
      <c r="Q27" s="923"/>
      <c r="R27" s="700">
        <f>R26+R25+R24</f>
        <v>0</v>
      </c>
      <c r="S27" s="700">
        <f>S26+S25+S24</f>
        <v>0</v>
      </c>
      <c r="T27" s="694" t="e">
        <f>AVERAGE(T24:T26)</f>
        <v>#DIV/0!</v>
      </c>
      <c r="U27" s="694" t="e">
        <f>AVERAGE(U24:U26)</f>
        <v>#DIV/0!</v>
      </c>
      <c r="V27" s="922" t="s">
        <v>601</v>
      </c>
      <c r="W27" s="923"/>
      <c r="X27" s="923"/>
      <c r="Y27" s="923"/>
      <c r="Z27" s="923"/>
      <c r="AA27" s="924"/>
    </row>
    <row r="28" spans="1:27">
      <c r="A28" s="660"/>
      <c r="B28" s="660"/>
      <c r="C28" s="660"/>
      <c r="D28" s="656"/>
      <c r="E28" s="666"/>
      <c r="F28" s="666"/>
      <c r="G28" s="666"/>
      <c r="H28" s="666"/>
      <c r="I28" s="666"/>
      <c r="J28" s="666"/>
      <c r="K28" s="666"/>
      <c r="L28" s="666"/>
      <c r="M28" s="666"/>
      <c r="N28" s="666"/>
      <c r="O28" s="666"/>
    </row>
    <row r="29" spans="1:27" ht="63.75">
      <c r="A29" s="660"/>
      <c r="B29" s="658" t="s">
        <v>589</v>
      </c>
      <c r="C29" s="659" t="s">
        <v>593</v>
      </c>
      <c r="D29" s="659" t="s">
        <v>571</v>
      </c>
      <c r="E29" s="659" t="s">
        <v>572</v>
      </c>
      <c r="F29" s="658" t="s">
        <v>573</v>
      </c>
      <c r="G29" s="658" t="s">
        <v>574</v>
      </c>
      <c r="H29" s="658" t="s">
        <v>594</v>
      </c>
      <c r="I29" s="658" t="s">
        <v>595</v>
      </c>
      <c r="J29" s="659" t="s">
        <v>571</v>
      </c>
      <c r="K29" s="659" t="s">
        <v>572</v>
      </c>
      <c r="L29" s="658" t="s">
        <v>596</v>
      </c>
      <c r="M29" s="658" t="s">
        <v>574</v>
      </c>
      <c r="N29" s="658" t="s">
        <v>594</v>
      </c>
      <c r="O29" s="658" t="s">
        <v>595</v>
      </c>
      <c r="P29" s="659" t="s">
        <v>571</v>
      </c>
      <c r="Q29" s="659" t="s">
        <v>572</v>
      </c>
      <c r="R29" s="658" t="s">
        <v>577</v>
      </c>
      <c r="S29" s="658" t="s">
        <v>574</v>
      </c>
      <c r="T29" s="658" t="s">
        <v>594</v>
      </c>
      <c r="U29" s="658" t="s">
        <v>595</v>
      </c>
      <c r="V29" s="716" t="s">
        <v>571</v>
      </c>
      <c r="W29" s="716" t="s">
        <v>572</v>
      </c>
      <c r="X29" s="717" t="s">
        <v>579</v>
      </c>
      <c r="Y29" s="717" t="s">
        <v>574</v>
      </c>
      <c r="Z29" s="717" t="s">
        <v>594</v>
      </c>
      <c r="AA29" s="658" t="s">
        <v>595</v>
      </c>
    </row>
    <row r="30" spans="1:27">
      <c r="A30" s="660"/>
      <c r="B30" s="658" t="s">
        <v>597</v>
      </c>
      <c r="C30" s="658">
        <f>C31+C32</f>
        <v>0</v>
      </c>
      <c r="D30" s="658">
        <f t="shared" ref="D30:G30" si="14">D31+D32</f>
        <v>0</v>
      </c>
      <c r="E30" s="658">
        <f t="shared" si="14"/>
        <v>0</v>
      </c>
      <c r="F30" s="658">
        <f t="shared" si="14"/>
        <v>0</v>
      </c>
      <c r="G30" s="658">
        <f t="shared" si="14"/>
        <v>0</v>
      </c>
      <c r="H30" s="658"/>
      <c r="I30" s="658"/>
      <c r="J30" s="658"/>
      <c r="K30" s="658"/>
      <c r="L30" s="693"/>
      <c r="M30" s="693"/>
      <c r="N30" s="693"/>
      <c r="O30" s="693"/>
      <c r="P30" s="658"/>
      <c r="Q30" s="658"/>
      <c r="R30" s="693"/>
      <c r="S30" s="693"/>
      <c r="T30" s="693"/>
      <c r="U30" s="693"/>
      <c r="V30" s="658"/>
      <c r="W30" s="658"/>
      <c r="X30" s="693"/>
      <c r="Y30" s="693"/>
      <c r="Z30" s="693"/>
      <c r="AA30" s="693"/>
    </row>
    <row r="31" spans="1:27">
      <c r="A31" s="660"/>
      <c r="B31" s="661" t="s">
        <v>581</v>
      </c>
      <c r="C31" s="661"/>
      <c r="D31" s="661"/>
      <c r="E31" s="662"/>
      <c r="F31" s="662"/>
      <c r="G31" s="662"/>
      <c r="H31" s="662"/>
      <c r="I31" s="662"/>
      <c r="J31" s="662"/>
      <c r="K31" s="662"/>
      <c r="L31" s="662"/>
      <c r="M31" s="662"/>
      <c r="N31" s="663"/>
      <c r="O31" s="662"/>
      <c r="P31" s="662"/>
      <c r="Q31" s="662"/>
      <c r="R31" s="663"/>
      <c r="S31" s="662"/>
      <c r="T31" s="663"/>
      <c r="U31" s="662"/>
      <c r="V31" s="662"/>
      <c r="W31" s="662"/>
      <c r="X31" s="663"/>
      <c r="Y31" s="662"/>
      <c r="Z31" s="663"/>
      <c r="AA31" s="662"/>
    </row>
    <row r="32" spans="1:27">
      <c r="A32" s="660"/>
      <c r="B32" s="661" t="s">
        <v>582</v>
      </c>
      <c r="C32" s="661"/>
      <c r="D32" s="661"/>
      <c r="E32" s="662"/>
      <c r="F32" s="662"/>
      <c r="G32" s="662"/>
      <c r="H32" s="662"/>
      <c r="I32" s="662"/>
      <c r="J32" s="662"/>
      <c r="K32" s="662"/>
      <c r="L32" s="662"/>
      <c r="M32" s="662"/>
      <c r="N32" s="663"/>
      <c r="O32" s="662"/>
      <c r="P32" s="662"/>
      <c r="Q32" s="662"/>
      <c r="R32" s="662"/>
      <c r="S32" s="662"/>
      <c r="T32" s="663"/>
      <c r="U32" s="662"/>
      <c r="V32" s="662"/>
      <c r="W32" s="662"/>
      <c r="X32" s="662"/>
      <c r="Y32" s="662"/>
      <c r="Z32" s="662"/>
      <c r="AA32" s="662"/>
    </row>
    <row r="33" spans="1:27" ht="12.75" customHeight="1">
      <c r="A33" s="660"/>
      <c r="B33" s="925" t="s">
        <v>598</v>
      </c>
      <c r="C33" s="926"/>
      <c r="D33" s="926"/>
      <c r="E33" s="926"/>
      <c r="F33" s="926"/>
      <c r="G33" s="927"/>
      <c r="H33" s="694" t="e">
        <f>AVERAGE(H31:H32)</f>
        <v>#DIV/0!</v>
      </c>
      <c r="I33" s="694" t="e">
        <f>AVERAGE(I31:I32)</f>
        <v>#DIV/0!</v>
      </c>
      <c r="J33" s="698" t="s">
        <v>599</v>
      </c>
      <c r="K33" s="699"/>
      <c r="L33" s="700">
        <f>L32+L31+L30</f>
        <v>0</v>
      </c>
      <c r="M33" s="700">
        <f>M32+M31+M30</f>
        <v>0</v>
      </c>
      <c r="N33" s="694" t="e">
        <f>AVERAGE(N30:N32)</f>
        <v>#DIV/0!</v>
      </c>
      <c r="O33" s="694" t="e">
        <f>AVERAGE(O30:O32)</f>
        <v>#DIV/0!</v>
      </c>
      <c r="P33" s="922" t="s">
        <v>600</v>
      </c>
      <c r="Q33" s="923"/>
      <c r="R33" s="700">
        <f>R32+R31+R30</f>
        <v>0</v>
      </c>
      <c r="S33" s="700">
        <f>S32+S31+S30</f>
        <v>0</v>
      </c>
      <c r="T33" s="694" t="e">
        <f>AVERAGE(T30:T32)</f>
        <v>#DIV/0!</v>
      </c>
      <c r="U33" s="694" t="e">
        <f>AVERAGE(U30:U32)</f>
        <v>#DIV/0!</v>
      </c>
      <c r="V33" s="922" t="s">
        <v>601</v>
      </c>
      <c r="W33" s="923"/>
      <c r="X33" s="923"/>
      <c r="Y33" s="923"/>
      <c r="Z33" s="923"/>
      <c r="AA33" s="924"/>
    </row>
    <row r="34" spans="1:27">
      <c r="A34" s="660"/>
      <c r="B34" s="660"/>
      <c r="C34" s="660"/>
      <c r="D34" s="656"/>
      <c r="E34" s="666"/>
      <c r="F34" s="666"/>
      <c r="G34" s="666"/>
      <c r="H34" s="666"/>
      <c r="I34" s="666"/>
      <c r="J34" s="666"/>
      <c r="K34" s="666"/>
      <c r="L34" s="666"/>
      <c r="M34" s="666"/>
      <c r="N34" s="666"/>
      <c r="O34" s="666"/>
    </row>
    <row r="35" spans="1:27" ht="63.75">
      <c r="A35" s="660"/>
      <c r="B35" s="658" t="s">
        <v>590</v>
      </c>
      <c r="C35" s="659" t="s">
        <v>593</v>
      </c>
      <c r="D35" s="659" t="s">
        <v>571</v>
      </c>
      <c r="E35" s="659" t="s">
        <v>572</v>
      </c>
      <c r="F35" s="658" t="s">
        <v>573</v>
      </c>
      <c r="G35" s="658" t="s">
        <v>574</v>
      </c>
      <c r="H35" s="658" t="s">
        <v>594</v>
      </c>
      <c r="I35" s="658" t="s">
        <v>595</v>
      </c>
      <c r="J35" s="659" t="s">
        <v>571</v>
      </c>
      <c r="K35" s="659" t="s">
        <v>572</v>
      </c>
      <c r="L35" s="658" t="s">
        <v>596</v>
      </c>
      <c r="M35" s="658" t="s">
        <v>574</v>
      </c>
      <c r="N35" s="658" t="s">
        <v>594</v>
      </c>
      <c r="O35" s="658" t="s">
        <v>595</v>
      </c>
      <c r="P35" s="659" t="s">
        <v>571</v>
      </c>
      <c r="Q35" s="659" t="s">
        <v>572</v>
      </c>
      <c r="R35" s="658" t="s">
        <v>577</v>
      </c>
      <c r="S35" s="658" t="s">
        <v>574</v>
      </c>
      <c r="T35" s="658" t="s">
        <v>594</v>
      </c>
      <c r="U35" s="658" t="s">
        <v>595</v>
      </c>
      <c r="V35" s="716" t="s">
        <v>571</v>
      </c>
      <c r="W35" s="716" t="s">
        <v>572</v>
      </c>
      <c r="X35" s="717" t="s">
        <v>579</v>
      </c>
      <c r="Y35" s="717" t="s">
        <v>574</v>
      </c>
      <c r="Z35" s="717" t="s">
        <v>594</v>
      </c>
      <c r="AA35" s="658" t="s">
        <v>595</v>
      </c>
    </row>
    <row r="36" spans="1:27">
      <c r="A36" s="660"/>
      <c r="B36" s="658" t="s">
        <v>597</v>
      </c>
      <c r="C36" s="658">
        <f>C37+C38</f>
        <v>0</v>
      </c>
      <c r="D36" s="658">
        <f t="shared" ref="D36:G36" si="15">D37+D38</f>
        <v>0</v>
      </c>
      <c r="E36" s="658">
        <f t="shared" si="15"/>
        <v>0</v>
      </c>
      <c r="F36" s="658">
        <f t="shared" si="15"/>
        <v>0</v>
      </c>
      <c r="G36" s="658">
        <f t="shared" si="15"/>
        <v>0</v>
      </c>
      <c r="H36" s="658"/>
      <c r="I36" s="658"/>
      <c r="J36" s="658"/>
      <c r="K36" s="658"/>
      <c r="L36" s="693"/>
      <c r="M36" s="693"/>
      <c r="N36" s="693"/>
      <c r="O36" s="693"/>
      <c r="P36" s="658"/>
      <c r="Q36" s="658"/>
      <c r="R36" s="693"/>
      <c r="S36" s="693"/>
      <c r="T36" s="693"/>
      <c r="U36" s="693"/>
      <c r="V36" s="658"/>
      <c r="W36" s="658"/>
      <c r="X36" s="693"/>
      <c r="Y36" s="693"/>
      <c r="Z36" s="693"/>
      <c r="AA36" s="693"/>
    </row>
    <row r="37" spans="1:27">
      <c r="A37" s="660"/>
      <c r="B37" s="661" t="s">
        <v>581</v>
      </c>
      <c r="C37" s="661"/>
      <c r="D37" s="661"/>
      <c r="E37" s="662"/>
      <c r="F37" s="662"/>
      <c r="G37" s="662"/>
      <c r="H37" s="662"/>
      <c r="I37" s="662"/>
      <c r="J37" s="662"/>
      <c r="K37" s="662"/>
      <c r="L37" s="663"/>
      <c r="M37" s="662"/>
      <c r="N37" s="663"/>
      <c r="O37" s="662"/>
      <c r="P37" s="662"/>
      <c r="Q37" s="662"/>
      <c r="R37" s="663"/>
      <c r="S37" s="662"/>
      <c r="T37" s="663"/>
      <c r="U37" s="662"/>
      <c r="V37" s="662"/>
      <c r="W37" s="662"/>
      <c r="X37" s="663"/>
      <c r="Y37" s="662"/>
      <c r="Z37" s="663"/>
      <c r="AA37" s="662"/>
    </row>
    <row r="38" spans="1:27">
      <c r="A38" s="660"/>
      <c r="B38" s="661" t="s">
        <v>582</v>
      </c>
      <c r="C38" s="661"/>
      <c r="D38" s="661"/>
      <c r="E38" s="662"/>
      <c r="F38" s="662"/>
      <c r="G38" s="662"/>
      <c r="H38" s="662"/>
      <c r="I38" s="662"/>
      <c r="J38" s="662"/>
      <c r="K38" s="662"/>
      <c r="L38" s="663"/>
      <c r="M38" s="662"/>
      <c r="N38" s="663"/>
      <c r="O38" s="662"/>
      <c r="P38" s="662"/>
      <c r="Q38" s="662"/>
      <c r="R38" s="662"/>
      <c r="S38" s="662"/>
      <c r="T38" s="662"/>
      <c r="U38" s="662"/>
      <c r="V38" s="662"/>
      <c r="W38" s="662"/>
      <c r="X38" s="662"/>
      <c r="Y38" s="662"/>
      <c r="Z38" s="662"/>
      <c r="AA38" s="662"/>
    </row>
    <row r="39" spans="1:27" ht="12.75" customHeight="1">
      <c r="A39" s="660"/>
      <c r="B39" s="925" t="s">
        <v>598</v>
      </c>
      <c r="C39" s="926"/>
      <c r="D39" s="926"/>
      <c r="E39" s="926"/>
      <c r="F39" s="926"/>
      <c r="G39" s="927"/>
      <c r="H39" s="696">
        <v>0</v>
      </c>
      <c r="I39" s="696">
        <v>0</v>
      </c>
      <c r="J39" s="698" t="s">
        <v>599</v>
      </c>
      <c r="K39" s="699"/>
      <c r="L39" s="700">
        <f>L38+L37+L36</f>
        <v>0</v>
      </c>
      <c r="M39" s="700">
        <f>M38+M37+M36</f>
        <v>0</v>
      </c>
      <c r="N39" s="694" t="e">
        <f>AVERAGE(N36:N38)</f>
        <v>#DIV/0!</v>
      </c>
      <c r="O39" s="694" t="e">
        <f>AVERAGE(O36:O38)</f>
        <v>#DIV/0!</v>
      </c>
      <c r="P39" s="922" t="s">
        <v>600</v>
      </c>
      <c r="Q39" s="923"/>
      <c r="R39" s="700">
        <f>R38+R37+R36</f>
        <v>0</v>
      </c>
      <c r="S39" s="700">
        <f>S38+S37+S36</f>
        <v>0</v>
      </c>
      <c r="T39" s="694" t="e">
        <f>AVERAGE(T36:T38)</f>
        <v>#DIV/0!</v>
      </c>
      <c r="U39" s="694" t="e">
        <f>AVERAGE(U36:U38)</f>
        <v>#DIV/0!</v>
      </c>
      <c r="V39" s="922" t="s">
        <v>601</v>
      </c>
      <c r="W39" s="923"/>
      <c r="X39" s="923"/>
      <c r="Y39" s="923"/>
      <c r="Z39" s="923"/>
      <c r="AA39" s="924"/>
    </row>
    <row r="40" spans="1:27">
      <c r="A40" s="660"/>
      <c r="B40" s="660"/>
      <c r="C40" s="660"/>
      <c r="D40" s="656"/>
      <c r="E40" s="666"/>
      <c r="F40" s="666"/>
      <c r="G40" s="666"/>
      <c r="H40" s="666"/>
      <c r="I40" s="666"/>
      <c r="J40" s="666"/>
      <c r="K40" s="666"/>
      <c r="L40" s="666"/>
      <c r="M40" s="666"/>
      <c r="N40" s="666"/>
      <c r="O40" s="666"/>
    </row>
    <row r="41" spans="1:27" ht="63.75">
      <c r="A41" s="660"/>
      <c r="B41" s="658" t="s">
        <v>591</v>
      </c>
      <c r="C41" s="659" t="s">
        <v>593</v>
      </c>
      <c r="D41" s="659" t="s">
        <v>571</v>
      </c>
      <c r="E41" s="659" t="s">
        <v>572</v>
      </c>
      <c r="F41" s="658" t="s">
        <v>573</v>
      </c>
      <c r="G41" s="658" t="s">
        <v>574</v>
      </c>
      <c r="H41" s="658" t="s">
        <v>594</v>
      </c>
      <c r="I41" s="658" t="s">
        <v>595</v>
      </c>
      <c r="J41" s="659" t="s">
        <v>571</v>
      </c>
      <c r="K41" s="659" t="s">
        <v>572</v>
      </c>
      <c r="L41" s="658" t="s">
        <v>596</v>
      </c>
      <c r="M41" s="658" t="s">
        <v>574</v>
      </c>
      <c r="N41" s="658" t="s">
        <v>594</v>
      </c>
      <c r="O41" s="658" t="s">
        <v>595</v>
      </c>
      <c r="P41" s="659" t="s">
        <v>571</v>
      </c>
      <c r="Q41" s="659" t="s">
        <v>572</v>
      </c>
      <c r="R41" s="658" t="s">
        <v>577</v>
      </c>
      <c r="S41" s="658" t="s">
        <v>574</v>
      </c>
      <c r="T41" s="658" t="s">
        <v>594</v>
      </c>
      <c r="U41" s="658" t="s">
        <v>595</v>
      </c>
      <c r="V41" s="716" t="s">
        <v>571</v>
      </c>
      <c r="W41" s="716" t="s">
        <v>572</v>
      </c>
      <c r="X41" s="717" t="s">
        <v>579</v>
      </c>
      <c r="Y41" s="717" t="s">
        <v>574</v>
      </c>
      <c r="Z41" s="717" t="s">
        <v>594</v>
      </c>
      <c r="AA41" s="658" t="s">
        <v>595</v>
      </c>
    </row>
    <row r="42" spans="1:27">
      <c r="A42" s="660"/>
      <c r="B42" s="658" t="s">
        <v>597</v>
      </c>
      <c r="C42" s="658">
        <f>C43</f>
        <v>0</v>
      </c>
      <c r="D42" s="658">
        <f t="shared" ref="D42:G42" si="16">D43</f>
        <v>0</v>
      </c>
      <c r="E42" s="658">
        <f t="shared" si="16"/>
        <v>0</v>
      </c>
      <c r="F42" s="658">
        <f t="shared" si="16"/>
        <v>0</v>
      </c>
      <c r="G42" s="658">
        <f t="shared" si="16"/>
        <v>0</v>
      </c>
      <c r="H42" s="658"/>
      <c r="I42" s="658"/>
      <c r="J42" s="658"/>
      <c r="K42" s="658"/>
      <c r="L42" s="693"/>
      <c r="M42" s="693"/>
      <c r="N42" s="693"/>
      <c r="O42" s="693"/>
      <c r="P42" s="658"/>
      <c r="Q42" s="658"/>
      <c r="R42" s="693"/>
      <c r="S42" s="693"/>
      <c r="T42" s="693"/>
      <c r="U42" s="693"/>
      <c r="V42" s="658"/>
      <c r="W42" s="658"/>
      <c r="X42" s="693"/>
      <c r="Y42" s="693"/>
      <c r="Z42" s="693"/>
      <c r="AA42" s="693"/>
    </row>
    <row r="43" spans="1:27">
      <c r="A43" s="660"/>
      <c r="B43" s="661" t="s">
        <v>581</v>
      </c>
      <c r="C43" s="661"/>
      <c r="D43" s="661"/>
      <c r="E43" s="662"/>
      <c r="F43" s="662"/>
      <c r="G43" s="662"/>
      <c r="H43" s="662"/>
      <c r="I43" s="662"/>
      <c r="J43" s="662"/>
      <c r="K43" s="662"/>
      <c r="L43" s="663"/>
      <c r="M43" s="662"/>
      <c r="N43" s="663"/>
      <c r="O43" s="662"/>
      <c r="P43" s="662"/>
      <c r="Q43" s="662"/>
      <c r="R43" s="663"/>
      <c r="S43" s="662"/>
      <c r="T43" s="663"/>
      <c r="U43" s="662"/>
      <c r="V43" s="662"/>
      <c r="W43" s="662"/>
      <c r="X43" s="663"/>
      <c r="Y43" s="662"/>
      <c r="Z43" s="663"/>
      <c r="AA43" s="662"/>
    </row>
    <row r="44" spans="1:27" ht="12.75" customHeight="1">
      <c r="A44" s="660"/>
      <c r="B44" s="925" t="s">
        <v>598</v>
      </c>
      <c r="C44" s="926"/>
      <c r="D44" s="926"/>
      <c r="E44" s="926"/>
      <c r="F44" s="926"/>
      <c r="G44" s="927"/>
      <c r="H44" s="695">
        <f>H43</f>
        <v>0</v>
      </c>
      <c r="I44" s="695">
        <f>I43</f>
        <v>0</v>
      </c>
      <c r="J44" s="698" t="s">
        <v>599</v>
      </c>
      <c r="K44" s="699"/>
      <c r="L44" s="700">
        <f>L43</f>
        <v>0</v>
      </c>
      <c r="M44" s="700">
        <f>M43</f>
        <v>0</v>
      </c>
      <c r="N44" s="694" t="e">
        <f>AVERAGE(N41:N43)</f>
        <v>#DIV/0!</v>
      </c>
      <c r="O44" s="694" t="e">
        <f>AVERAGE(O41:O43)</f>
        <v>#DIV/0!</v>
      </c>
      <c r="P44" s="925" t="s">
        <v>600</v>
      </c>
      <c r="Q44" s="926"/>
      <c r="R44" s="700">
        <f>R43</f>
        <v>0</v>
      </c>
      <c r="S44" s="700">
        <f>S43</f>
        <v>0</v>
      </c>
      <c r="T44" s="700">
        <f>T43</f>
        <v>0</v>
      </c>
      <c r="U44" s="704">
        <f>U43</f>
        <v>0</v>
      </c>
      <c r="V44" s="922" t="s">
        <v>601</v>
      </c>
      <c r="W44" s="923"/>
      <c r="X44" s="923"/>
      <c r="Y44" s="923"/>
      <c r="Z44" s="923"/>
      <c r="AA44" s="924"/>
    </row>
    <row r="45" spans="1:27">
      <c r="A45" s="660"/>
      <c r="B45" s="660"/>
      <c r="C45" s="660"/>
      <c r="D45" s="656"/>
      <c r="E45" s="666"/>
      <c r="F45" s="666"/>
      <c r="G45" s="666"/>
      <c r="H45" s="666"/>
      <c r="I45" s="666"/>
      <c r="J45" s="666"/>
      <c r="K45" s="666"/>
      <c r="L45" s="666"/>
      <c r="M45" s="666"/>
      <c r="N45" s="666"/>
      <c r="O45" s="666"/>
    </row>
    <row r="46" spans="1:27" ht="63.75">
      <c r="A46" s="660"/>
      <c r="B46" s="658" t="s">
        <v>592</v>
      </c>
      <c r="C46" s="659" t="s">
        <v>593</v>
      </c>
      <c r="D46" s="659" t="s">
        <v>571</v>
      </c>
      <c r="E46" s="659" t="s">
        <v>572</v>
      </c>
      <c r="F46" s="658" t="s">
        <v>573</v>
      </c>
      <c r="G46" s="658" t="s">
        <v>574</v>
      </c>
      <c r="H46" s="658" t="s">
        <v>594</v>
      </c>
      <c r="I46" s="658" t="s">
        <v>595</v>
      </c>
      <c r="J46" s="659" t="s">
        <v>571</v>
      </c>
      <c r="K46" s="659" t="s">
        <v>572</v>
      </c>
      <c r="L46" s="658" t="s">
        <v>596</v>
      </c>
      <c r="M46" s="658" t="s">
        <v>574</v>
      </c>
      <c r="N46" s="658" t="s">
        <v>594</v>
      </c>
      <c r="O46" s="658" t="s">
        <v>595</v>
      </c>
      <c r="P46" s="659" t="s">
        <v>571</v>
      </c>
      <c r="Q46" s="659" t="s">
        <v>572</v>
      </c>
      <c r="R46" s="658" t="s">
        <v>577</v>
      </c>
      <c r="S46" s="658" t="s">
        <v>574</v>
      </c>
      <c r="T46" s="658" t="s">
        <v>594</v>
      </c>
      <c r="U46" s="658" t="s">
        <v>595</v>
      </c>
      <c r="V46" s="716" t="s">
        <v>571</v>
      </c>
      <c r="W46" s="716" t="s">
        <v>572</v>
      </c>
      <c r="X46" s="717" t="s">
        <v>579</v>
      </c>
      <c r="Y46" s="717" t="s">
        <v>574</v>
      </c>
      <c r="Z46" s="717" t="s">
        <v>594</v>
      </c>
      <c r="AA46" s="658" t="s">
        <v>595</v>
      </c>
    </row>
    <row r="47" spans="1:27">
      <c r="A47" s="660"/>
      <c r="B47" s="658" t="s">
        <v>597</v>
      </c>
      <c r="C47" s="658">
        <f>C48+C49+C50</f>
        <v>0</v>
      </c>
      <c r="D47" s="658">
        <f>D48+D49+D50</f>
        <v>0</v>
      </c>
      <c r="E47" s="658">
        <f t="shared" ref="E47:G47" si="17">E48+E49+E50</f>
        <v>0</v>
      </c>
      <c r="F47" s="658">
        <f t="shared" si="17"/>
        <v>0</v>
      </c>
      <c r="G47" s="658">
        <f t="shared" si="17"/>
        <v>0</v>
      </c>
      <c r="H47" s="658"/>
      <c r="I47" s="658"/>
      <c r="J47" s="658"/>
      <c r="K47" s="658"/>
      <c r="L47" s="693"/>
      <c r="M47" s="693"/>
      <c r="N47" s="693"/>
      <c r="O47" s="693"/>
      <c r="P47" s="658"/>
      <c r="Q47" s="658"/>
      <c r="R47" s="693"/>
      <c r="S47" s="693"/>
      <c r="T47" s="693"/>
      <c r="U47" s="693"/>
      <c r="V47" s="658"/>
      <c r="W47" s="658"/>
      <c r="X47" s="693"/>
      <c r="Y47" s="693"/>
      <c r="Z47" s="693"/>
      <c r="AA47" s="693"/>
    </row>
    <row r="48" spans="1:27">
      <c r="A48" s="660"/>
      <c r="B48" s="661" t="s">
        <v>581</v>
      </c>
      <c r="C48" s="661"/>
      <c r="D48" s="661"/>
      <c r="E48" s="662"/>
      <c r="F48" s="662"/>
      <c r="G48" s="662"/>
      <c r="H48" s="662"/>
      <c r="I48" s="662"/>
      <c r="J48" s="662"/>
      <c r="K48" s="662"/>
      <c r="L48" s="663"/>
      <c r="M48" s="662"/>
      <c r="N48" s="663"/>
      <c r="O48" s="662"/>
      <c r="P48" s="662"/>
      <c r="Q48" s="662"/>
      <c r="R48" s="662"/>
      <c r="S48" s="662"/>
      <c r="T48" s="663"/>
      <c r="U48" s="662"/>
      <c r="V48" s="662"/>
      <c r="W48" s="662"/>
      <c r="X48" s="663"/>
      <c r="Y48" s="662"/>
      <c r="Z48" s="663"/>
      <c r="AA48" s="662"/>
    </row>
    <row r="49" spans="1:27">
      <c r="A49" s="660"/>
      <c r="B49" s="661" t="s">
        <v>582</v>
      </c>
      <c r="C49" s="661"/>
      <c r="D49" s="661"/>
      <c r="E49" s="662"/>
      <c r="F49" s="662"/>
      <c r="G49" s="662"/>
      <c r="H49" s="662"/>
      <c r="I49" s="662"/>
      <c r="J49" s="662"/>
      <c r="K49" s="662"/>
      <c r="L49" s="662"/>
      <c r="M49" s="662"/>
      <c r="N49" s="663"/>
      <c r="O49" s="662"/>
      <c r="P49" s="662"/>
      <c r="Q49" s="662"/>
      <c r="R49" s="662"/>
      <c r="S49" s="662"/>
      <c r="T49" s="663"/>
      <c r="U49" s="662"/>
      <c r="V49" s="662"/>
      <c r="W49" s="662"/>
      <c r="X49" s="662"/>
      <c r="Y49" s="662"/>
      <c r="Z49" s="662"/>
      <c r="AA49" s="662"/>
    </row>
    <row r="50" spans="1:27">
      <c r="A50" s="660"/>
      <c r="B50" s="661" t="s">
        <v>583</v>
      </c>
      <c r="C50" s="661"/>
      <c r="D50" s="661"/>
      <c r="E50" s="662"/>
      <c r="F50" s="662"/>
      <c r="G50" s="662"/>
      <c r="H50" s="662"/>
      <c r="I50" s="662"/>
      <c r="J50" s="662"/>
      <c r="K50" s="662"/>
      <c r="L50" s="662"/>
      <c r="M50" s="662"/>
      <c r="N50" s="663"/>
      <c r="O50" s="662"/>
      <c r="P50" s="662"/>
      <c r="Q50" s="662"/>
      <c r="R50" s="662"/>
      <c r="S50" s="662"/>
      <c r="T50" s="663"/>
      <c r="U50" s="662"/>
      <c r="V50" s="662"/>
      <c r="W50" s="665"/>
      <c r="X50" s="665"/>
      <c r="Y50" s="665"/>
      <c r="Z50" s="665"/>
      <c r="AA50" s="665"/>
    </row>
    <row r="51" spans="1:27" ht="12.75" customHeight="1">
      <c r="A51" s="660"/>
      <c r="B51" s="925" t="s">
        <v>598</v>
      </c>
      <c r="C51" s="926"/>
      <c r="D51" s="926"/>
      <c r="E51" s="926"/>
      <c r="F51" s="926"/>
      <c r="G51" s="927"/>
      <c r="H51" s="694" t="e">
        <f>AVERAGE(H48:H50)</f>
        <v>#DIV/0!</v>
      </c>
      <c r="I51" s="694" t="e">
        <f>AVERAGE(I48:I50)</f>
        <v>#DIV/0!</v>
      </c>
      <c r="J51" s="698" t="s">
        <v>599</v>
      </c>
      <c r="K51" s="699"/>
      <c r="L51" s="700">
        <f>L50+L49+L48</f>
        <v>0</v>
      </c>
      <c r="M51" s="700">
        <f>M50+M49+M48</f>
        <v>0</v>
      </c>
      <c r="N51" s="694" t="e">
        <f>AVERAGE(N48:N50)</f>
        <v>#DIV/0!</v>
      </c>
      <c r="O51" s="694" t="e">
        <f>AVERAGE(O48:O50)</f>
        <v>#DIV/0!</v>
      </c>
      <c r="P51" s="925" t="s">
        <v>600</v>
      </c>
      <c r="Q51" s="926"/>
      <c r="R51" s="700">
        <f>R50+R49+R48</f>
        <v>0</v>
      </c>
      <c r="S51" s="700">
        <f>S50+S49+S48</f>
        <v>0</v>
      </c>
      <c r="T51" s="694" t="e">
        <f>AVERAGE(T48:T50)</f>
        <v>#DIV/0!</v>
      </c>
      <c r="U51" s="694" t="e">
        <f>AVERAGE(U48:U50)</f>
        <v>#DIV/0!</v>
      </c>
      <c r="V51" s="922" t="s">
        <v>601</v>
      </c>
      <c r="W51" s="923"/>
      <c r="X51" s="923"/>
      <c r="Y51" s="923"/>
      <c r="Z51" s="923"/>
      <c r="AA51" s="924"/>
    </row>
    <row r="52" spans="1:27">
      <c r="A52" s="660"/>
      <c r="B52" s="660"/>
      <c r="C52" s="660"/>
      <c r="D52" s="656"/>
      <c r="E52" s="656"/>
      <c r="F52" s="656"/>
      <c r="G52" s="656"/>
      <c r="H52" s="656"/>
      <c r="I52" s="656"/>
      <c r="J52" s="656"/>
      <c r="K52" s="656"/>
      <c r="L52" s="656"/>
      <c r="M52" s="656"/>
      <c r="N52" s="656"/>
    </row>
    <row r="53" spans="1:27">
      <c r="A53" s="660"/>
      <c r="B53" s="660"/>
      <c r="C53" s="660"/>
      <c r="D53" s="656"/>
      <c r="E53" s="656"/>
      <c r="F53" s="656"/>
      <c r="G53" s="656"/>
      <c r="H53" s="656"/>
      <c r="I53" s="656"/>
      <c r="J53" s="656"/>
      <c r="K53" s="656"/>
      <c r="L53" s="656"/>
      <c r="M53" s="656"/>
      <c r="N53" s="656"/>
    </row>
    <row r="54" spans="1:27">
      <c r="A54" s="660"/>
      <c r="B54" s="660"/>
      <c r="C54" s="660"/>
      <c r="D54" s="656"/>
      <c r="E54" s="656"/>
      <c r="F54" s="656"/>
      <c r="G54" s="656"/>
      <c r="H54" s="656"/>
      <c r="I54" s="656"/>
      <c r="J54" s="656"/>
      <c r="K54" s="656"/>
      <c r="L54" s="656"/>
      <c r="M54" s="656"/>
      <c r="N54" s="656"/>
    </row>
    <row r="55" spans="1:27" ht="45">
      <c r="A55" s="660"/>
      <c r="B55" s="408" t="s">
        <v>602</v>
      </c>
      <c r="C55" s="408" t="s">
        <v>603</v>
      </c>
      <c r="D55" s="408" t="s">
        <v>604</v>
      </c>
      <c r="E55" s="408" t="s">
        <v>605</v>
      </c>
      <c r="F55" s="408" t="s">
        <v>595</v>
      </c>
      <c r="G55" s="408" t="s">
        <v>606</v>
      </c>
      <c r="H55" s="408" t="s">
        <v>607</v>
      </c>
      <c r="I55" s="408" t="s">
        <v>608</v>
      </c>
      <c r="J55" s="408" t="s">
        <v>595</v>
      </c>
      <c r="K55" s="408" t="s">
        <v>609</v>
      </c>
      <c r="L55" s="408" t="s">
        <v>610</v>
      </c>
      <c r="M55" s="408" t="s">
        <v>611</v>
      </c>
      <c r="N55" s="408" t="s">
        <v>595</v>
      </c>
      <c r="O55" s="408" t="s">
        <v>612</v>
      </c>
      <c r="P55" s="408" t="s">
        <v>613</v>
      </c>
      <c r="Q55" s="408" t="s">
        <v>614</v>
      </c>
      <c r="R55" s="408" t="s">
        <v>595</v>
      </c>
      <c r="S55" s="408" t="s">
        <v>615</v>
      </c>
    </row>
    <row r="56" spans="1:27" ht="15">
      <c r="B56" s="409"/>
      <c r="C56" s="409"/>
      <c r="D56" s="410"/>
      <c r="E56" s="411"/>
      <c r="F56" s="411"/>
      <c r="G56" s="411"/>
      <c r="H56" s="412"/>
      <c r="I56" s="411"/>
      <c r="J56" s="411"/>
      <c r="K56" s="411"/>
      <c r="L56" s="412"/>
      <c r="M56" s="708"/>
      <c r="N56" s="707"/>
      <c r="O56" s="709"/>
      <c r="P56" s="701">
        <v>598</v>
      </c>
      <c r="Q56" s="707" t="e">
        <f>P56/O56*100</f>
        <v>#DIV/0!</v>
      </c>
      <c r="R56" s="706" t="e">
        <f>P56/B56*100</f>
        <v>#DIV/0!</v>
      </c>
      <c r="S56" s="710" t="e">
        <f>R56+N56+J56+F56</f>
        <v>#DIV/0!</v>
      </c>
    </row>
    <row r="60" spans="1:27">
      <c r="K60" s="657">
        <v>726</v>
      </c>
      <c r="L60" s="657">
        <v>100</v>
      </c>
      <c r="M60" s="657">
        <f>K61/K60*100</f>
        <v>94.903581267217632</v>
      </c>
      <c r="N60" s="657">
        <v>624</v>
      </c>
      <c r="O60" s="657">
        <v>100</v>
      </c>
    </row>
    <row r="61" spans="1:27">
      <c r="K61" s="657">
        <v>689</v>
      </c>
      <c r="N61" s="657">
        <v>94</v>
      </c>
      <c r="O61" s="657">
        <f>N61/N60*O60</f>
        <v>15.064102564102564</v>
      </c>
      <c r="P61" s="657" t="s">
        <v>616</v>
      </c>
    </row>
  </sheetData>
  <mergeCells count="24">
    <mergeCell ref="B19:G19"/>
    <mergeCell ref="B51:G51"/>
    <mergeCell ref="B44:G44"/>
    <mergeCell ref="B39:G39"/>
    <mergeCell ref="B33:G33"/>
    <mergeCell ref="B27:G27"/>
    <mergeCell ref="V7:AA7"/>
    <mergeCell ref="V13:AA13"/>
    <mergeCell ref="B13:G13"/>
    <mergeCell ref="B7:G7"/>
    <mergeCell ref="P7:Q7"/>
    <mergeCell ref="P13:Q13"/>
    <mergeCell ref="V19:AA19"/>
    <mergeCell ref="V27:AA27"/>
    <mergeCell ref="V33:AA33"/>
    <mergeCell ref="P19:Q19"/>
    <mergeCell ref="P27:Q27"/>
    <mergeCell ref="P33:Q33"/>
    <mergeCell ref="V39:AA39"/>
    <mergeCell ref="V44:AA44"/>
    <mergeCell ref="V51:AA51"/>
    <mergeCell ref="P39:Q39"/>
    <mergeCell ref="P51:Q51"/>
    <mergeCell ref="P44:Q4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3479-2190-4C3B-BE4A-6BE4B4C95A7D}">
  <dimension ref="A2:AQ110"/>
  <sheetViews>
    <sheetView workbookViewId="0">
      <selection activeCell="U15" sqref="U15"/>
    </sheetView>
  </sheetViews>
  <sheetFormatPr defaultColWidth="11" defaultRowHeight="15"/>
  <cols>
    <col min="1" max="1" width="22.25" customWidth="1"/>
    <col min="2" max="3" width="19.125" customWidth="1"/>
    <col min="4" max="4" width="18.125" customWidth="1"/>
    <col min="5" max="5" width="23.125" hidden="1" customWidth="1"/>
    <col min="6" max="6" width="22.625" customWidth="1"/>
    <col min="7" max="7" width="25.375" hidden="1" customWidth="1"/>
    <col min="8" max="8" width="22.375" hidden="1" customWidth="1"/>
    <col min="9" max="9" width="16.125" hidden="1" customWidth="1"/>
    <col min="10" max="10" width="26.625" hidden="1" customWidth="1"/>
    <col min="11" max="11" width="28.875" customWidth="1"/>
    <col min="12" max="12" width="25.125" customWidth="1"/>
    <col min="13" max="13" width="21.875" hidden="1" customWidth="1"/>
    <col min="14" max="14" width="22.875" customWidth="1"/>
    <col min="15" max="15" width="27.75" hidden="1" customWidth="1"/>
    <col min="16" max="16" width="15.625" hidden="1" customWidth="1"/>
    <col min="17" max="17" width="15.125" hidden="1" customWidth="1"/>
    <col min="18" max="19" width="16.125" hidden="1" customWidth="1"/>
    <col min="20" max="20" width="16.25" hidden="1" customWidth="1"/>
    <col min="21" max="21" width="25.75" customWidth="1"/>
    <col min="22" max="22" width="22.125" customWidth="1"/>
    <col min="23" max="23" width="23.375" hidden="1" customWidth="1"/>
    <col min="24" max="24" width="27.625" customWidth="1"/>
    <col min="25" max="25" width="16.75" hidden="1" customWidth="1"/>
    <col min="26" max="26" width="18.125" hidden="1" customWidth="1"/>
    <col min="27" max="27" width="16.375" hidden="1" customWidth="1"/>
    <col min="28" max="29" width="16.375" customWidth="1"/>
    <col min="30" max="30" width="17.25" customWidth="1"/>
    <col min="31" max="34" width="16.375" hidden="1" customWidth="1"/>
    <col min="35" max="35" width="19.375" hidden="1" customWidth="1"/>
    <col min="36" max="36" width="22.375" hidden="1" customWidth="1"/>
    <col min="37" max="38" width="17.875" hidden="1" customWidth="1"/>
    <col min="39" max="39" width="17.875" customWidth="1"/>
    <col min="40" max="40" width="23" customWidth="1"/>
    <col min="41" max="41" width="20.75" customWidth="1"/>
    <col min="42" max="42" width="25.375" customWidth="1"/>
  </cols>
  <sheetData>
    <row r="2" spans="1:43" ht="15" customHeight="1">
      <c r="A2" s="931" t="s">
        <v>617</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O2" s="931"/>
    </row>
    <row r="3" spans="1:43" ht="15" customHeight="1">
      <c r="A3" s="931"/>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c r="AN3" s="931"/>
      <c r="AO3" s="931"/>
    </row>
    <row r="4" spans="1:43" ht="30" customHeight="1">
      <c r="A4" s="932" t="s">
        <v>618</v>
      </c>
      <c r="B4" s="932"/>
      <c r="C4" s="932"/>
      <c r="D4" s="932"/>
      <c r="E4" s="932"/>
      <c r="F4" s="932"/>
      <c r="G4" s="932"/>
      <c r="H4" s="932"/>
      <c r="I4" s="932"/>
      <c r="J4" s="932"/>
      <c r="K4" s="933" t="s">
        <v>619</v>
      </c>
      <c r="L4" s="933"/>
      <c r="M4" s="933"/>
      <c r="N4" s="933"/>
      <c r="O4" s="933"/>
      <c r="P4" s="933"/>
      <c r="Q4" s="933"/>
      <c r="R4" s="934" t="s">
        <v>620</v>
      </c>
      <c r="S4" s="934" t="s">
        <v>621</v>
      </c>
      <c r="T4" s="934" t="s">
        <v>622</v>
      </c>
      <c r="U4" s="935" t="s">
        <v>623</v>
      </c>
      <c r="V4" s="935"/>
      <c r="W4" s="935"/>
      <c r="X4" s="935"/>
      <c r="Y4" s="935"/>
      <c r="Z4" s="935"/>
      <c r="AA4" s="935"/>
      <c r="AB4" s="936" t="s">
        <v>624</v>
      </c>
      <c r="AC4" s="936"/>
      <c r="AD4" s="936"/>
      <c r="AE4" s="936"/>
      <c r="AF4" s="936"/>
      <c r="AG4" s="936"/>
      <c r="AH4" s="936"/>
      <c r="AI4" s="812" t="s">
        <v>625</v>
      </c>
      <c r="AJ4" s="812" t="s">
        <v>626</v>
      </c>
      <c r="AK4" s="812" t="s">
        <v>627</v>
      </c>
      <c r="AL4" s="937"/>
      <c r="AM4" s="938" t="s">
        <v>628</v>
      </c>
      <c r="AN4" s="938" t="s">
        <v>629</v>
      </c>
      <c r="AO4" s="938" t="s">
        <v>630</v>
      </c>
      <c r="AP4" s="928" t="s">
        <v>631</v>
      </c>
    </row>
    <row r="5" spans="1:43" ht="15" customHeight="1">
      <c r="A5" s="940" t="s">
        <v>632</v>
      </c>
      <c r="B5" s="941" t="s">
        <v>633</v>
      </c>
      <c r="C5" s="941" t="s">
        <v>634</v>
      </c>
      <c r="D5" s="941" t="s">
        <v>635</v>
      </c>
      <c r="E5" s="941" t="s">
        <v>636</v>
      </c>
      <c r="F5" s="941" t="s">
        <v>637</v>
      </c>
      <c r="G5" s="941" t="s">
        <v>638</v>
      </c>
      <c r="H5" s="941" t="s">
        <v>639</v>
      </c>
      <c r="I5" s="941" t="s">
        <v>640</v>
      </c>
      <c r="J5" s="940" t="s">
        <v>641</v>
      </c>
      <c r="K5" s="939" t="s">
        <v>642</v>
      </c>
      <c r="L5" s="939" t="s">
        <v>643</v>
      </c>
      <c r="M5" s="939" t="s">
        <v>636</v>
      </c>
      <c r="N5" s="939" t="s">
        <v>644</v>
      </c>
      <c r="O5" s="939" t="s">
        <v>638</v>
      </c>
      <c r="P5" s="939" t="s">
        <v>639</v>
      </c>
      <c r="Q5" s="939" t="s">
        <v>640</v>
      </c>
      <c r="R5" s="934"/>
      <c r="S5" s="934"/>
      <c r="T5" s="934"/>
      <c r="U5" s="942" t="s">
        <v>645</v>
      </c>
      <c r="V5" s="942" t="s">
        <v>646</v>
      </c>
      <c r="W5" s="942" t="s">
        <v>636</v>
      </c>
      <c r="X5" s="942" t="s">
        <v>647</v>
      </c>
      <c r="Y5" s="942" t="s">
        <v>638</v>
      </c>
      <c r="Z5" s="942" t="s">
        <v>639</v>
      </c>
      <c r="AA5" s="942" t="s">
        <v>640</v>
      </c>
      <c r="AB5" s="937" t="s">
        <v>648</v>
      </c>
      <c r="AC5" s="937" t="s">
        <v>649</v>
      </c>
      <c r="AD5" s="937" t="s">
        <v>636</v>
      </c>
      <c r="AE5" s="937" t="s">
        <v>650</v>
      </c>
      <c r="AF5" s="937" t="s">
        <v>638</v>
      </c>
      <c r="AG5" s="937" t="s">
        <v>639</v>
      </c>
      <c r="AH5" s="937" t="s">
        <v>640</v>
      </c>
      <c r="AI5" s="812"/>
      <c r="AJ5" s="812"/>
      <c r="AK5" s="812"/>
      <c r="AL5" s="937"/>
      <c r="AM5" s="938"/>
      <c r="AN5" s="938"/>
      <c r="AO5" s="938"/>
      <c r="AP5" s="929"/>
    </row>
    <row r="6" spans="1:43" ht="60.75" customHeight="1">
      <c r="A6" s="940"/>
      <c r="B6" s="941"/>
      <c r="C6" s="941"/>
      <c r="D6" s="941"/>
      <c r="E6" s="941"/>
      <c r="F6" s="941"/>
      <c r="G6" s="941"/>
      <c r="H6" s="941"/>
      <c r="I6" s="941"/>
      <c r="J6" s="940"/>
      <c r="K6" s="939"/>
      <c r="L6" s="939"/>
      <c r="M6" s="939"/>
      <c r="N6" s="939"/>
      <c r="O6" s="939"/>
      <c r="P6" s="939"/>
      <c r="Q6" s="939"/>
      <c r="R6" s="934"/>
      <c r="S6" s="934"/>
      <c r="T6" s="934"/>
      <c r="U6" s="942"/>
      <c r="V6" s="942"/>
      <c r="W6" s="942"/>
      <c r="X6" s="942"/>
      <c r="Y6" s="942"/>
      <c r="Z6" s="942"/>
      <c r="AA6" s="942"/>
      <c r="AB6" s="937"/>
      <c r="AC6" s="937"/>
      <c r="AD6" s="937"/>
      <c r="AE6" s="937"/>
      <c r="AF6" s="937"/>
      <c r="AG6" s="937"/>
      <c r="AH6" s="937"/>
      <c r="AI6" s="812"/>
      <c r="AJ6" s="812"/>
      <c r="AK6" s="812"/>
      <c r="AL6" s="937"/>
      <c r="AM6" s="938"/>
      <c r="AN6" s="938"/>
      <c r="AO6" s="938"/>
      <c r="AP6" s="930"/>
    </row>
    <row r="7" spans="1:43">
      <c r="A7" s="667" t="s">
        <v>651</v>
      </c>
      <c r="B7" s="668"/>
      <c r="C7" s="668"/>
      <c r="D7" s="668"/>
      <c r="E7" s="550"/>
      <c r="F7" s="550"/>
      <c r="G7" s="551"/>
      <c r="H7" s="551"/>
      <c r="I7" s="669"/>
      <c r="J7" s="557"/>
      <c r="K7" s="668"/>
      <c r="L7" s="668"/>
      <c r="M7" s="550"/>
      <c r="N7" s="550"/>
      <c r="O7" s="551"/>
      <c r="P7" s="551"/>
      <c r="Q7" s="669"/>
      <c r="R7" s="669"/>
      <c r="S7" s="669"/>
      <c r="T7" s="554"/>
      <c r="U7" s="668"/>
      <c r="V7" s="668"/>
      <c r="W7" s="550"/>
      <c r="X7" s="550"/>
      <c r="Y7" s="551"/>
      <c r="Z7" s="551"/>
      <c r="AA7" s="669"/>
      <c r="AB7" s="670"/>
      <c r="AC7" s="670"/>
      <c r="AD7" s="669"/>
      <c r="AE7" s="669"/>
      <c r="AF7" s="669"/>
      <c r="AG7" s="669"/>
      <c r="AH7" s="669"/>
      <c r="AI7" s="669"/>
      <c r="AJ7" s="669"/>
      <c r="AK7" s="554"/>
      <c r="AL7" s="554"/>
      <c r="AM7" s="667"/>
      <c r="AN7" s="670"/>
      <c r="AO7" s="670"/>
      <c r="AP7" s="671"/>
      <c r="AQ7" s="328">
        <f>AVERAGE(AP7:AP11)</f>
        <v>0</v>
      </c>
    </row>
    <row r="8" spans="1:43">
      <c r="A8" s="503" t="s">
        <v>581</v>
      </c>
      <c r="B8" s="672"/>
      <c r="C8" s="504"/>
      <c r="D8" s="504"/>
      <c r="E8" s="401"/>
      <c r="F8" s="513"/>
      <c r="G8" s="514"/>
      <c r="H8" s="514"/>
      <c r="I8" s="401"/>
      <c r="J8" s="397"/>
      <c r="K8" s="321"/>
      <c r="L8" s="504"/>
      <c r="M8" s="401"/>
      <c r="N8" s="513"/>
      <c r="O8" s="514"/>
      <c r="P8" s="514"/>
      <c r="Q8" s="401"/>
      <c r="R8" s="515"/>
      <c r="S8" s="515"/>
      <c r="T8" s="503"/>
      <c r="U8" s="504"/>
      <c r="V8" s="504"/>
      <c r="W8" s="401"/>
      <c r="X8" s="513"/>
      <c r="Y8" s="514"/>
      <c r="Z8" s="514"/>
      <c r="AA8" s="401"/>
      <c r="AB8" s="403"/>
      <c r="AC8" s="403"/>
      <c r="AD8" s="401"/>
      <c r="AE8" s="401" t="e">
        <f>AC8/B8</f>
        <v>#DIV/0!</v>
      </c>
      <c r="AF8" s="401"/>
      <c r="AG8" s="401"/>
      <c r="AH8" s="401"/>
      <c r="AI8" s="515"/>
      <c r="AJ8" s="515"/>
      <c r="AK8" s="396"/>
      <c r="AL8" s="396"/>
      <c r="AM8" s="503" t="s">
        <v>581</v>
      </c>
      <c r="AN8" s="673">
        <f>AC8+V8+L8+D8</f>
        <v>0</v>
      </c>
      <c r="AO8" s="504">
        <v>10</v>
      </c>
      <c r="AP8" s="286">
        <f t="shared" ref="AP8:AP10" si="0">AN8/AO8*100</f>
        <v>0</v>
      </c>
    </row>
    <row r="9" spans="1:43">
      <c r="A9" s="503" t="s">
        <v>582</v>
      </c>
      <c r="B9" s="672"/>
      <c r="C9" s="504"/>
      <c r="D9" s="504"/>
      <c r="E9" s="401"/>
      <c r="F9" s="513"/>
      <c r="G9" s="514"/>
      <c r="H9" s="514"/>
      <c r="I9" s="401"/>
      <c r="J9" s="397"/>
      <c r="K9" s="321"/>
      <c r="L9" s="504"/>
      <c r="M9" s="401"/>
      <c r="N9" s="513"/>
      <c r="O9" s="514"/>
      <c r="P9" s="514"/>
      <c r="Q9" s="401"/>
      <c r="R9" s="515"/>
      <c r="S9" s="515"/>
      <c r="T9" s="503"/>
      <c r="U9" s="504"/>
      <c r="V9" s="504"/>
      <c r="W9" s="401"/>
      <c r="X9" s="513"/>
      <c r="Y9" s="514"/>
      <c r="Z9" s="514"/>
      <c r="AA9" s="401"/>
      <c r="AB9" s="403"/>
      <c r="AC9" s="403"/>
      <c r="AD9" s="401"/>
      <c r="AE9" s="401" t="e">
        <f t="shared" ref="AE9:AE10" si="1">AC9/B9</f>
        <v>#DIV/0!</v>
      </c>
      <c r="AF9" s="401"/>
      <c r="AG9" s="401"/>
      <c r="AH9" s="401"/>
      <c r="AI9" s="515"/>
      <c r="AJ9" s="515"/>
      <c r="AK9" s="396"/>
      <c r="AL9" s="396"/>
      <c r="AM9" s="503" t="s">
        <v>582</v>
      </c>
      <c r="AN9" s="673">
        <f t="shared" ref="AN9:AN10" si="2">AC9+V9+L9+D9</f>
        <v>0</v>
      </c>
      <c r="AO9" s="504">
        <v>23</v>
      </c>
      <c r="AP9" s="286">
        <f t="shared" si="0"/>
        <v>0</v>
      </c>
    </row>
    <row r="10" spans="1:43">
      <c r="A10" s="503" t="s">
        <v>583</v>
      </c>
      <c r="B10" s="672"/>
      <c r="C10" s="504"/>
      <c r="D10" s="504"/>
      <c r="E10" s="401"/>
      <c r="F10" s="513"/>
      <c r="G10" s="514"/>
      <c r="H10" s="514"/>
      <c r="I10" s="401"/>
      <c r="J10" s="397"/>
      <c r="K10" s="321"/>
      <c r="L10" s="504"/>
      <c r="M10" s="401"/>
      <c r="N10" s="513"/>
      <c r="O10" s="514"/>
      <c r="P10" s="514"/>
      <c r="Q10" s="401"/>
      <c r="R10" s="515"/>
      <c r="S10" s="515"/>
      <c r="T10" s="503"/>
      <c r="U10" s="504"/>
      <c r="V10" s="504"/>
      <c r="W10" s="401"/>
      <c r="X10" s="513"/>
      <c r="Y10" s="514"/>
      <c r="Z10" s="514"/>
      <c r="AA10" s="401"/>
      <c r="AB10" s="403"/>
      <c r="AC10" s="403"/>
      <c r="AD10" s="401"/>
      <c r="AE10" s="401" t="e">
        <f t="shared" si="1"/>
        <v>#DIV/0!</v>
      </c>
      <c r="AF10" s="401"/>
      <c r="AG10" s="401"/>
      <c r="AH10" s="401"/>
      <c r="AI10" s="515"/>
      <c r="AJ10" s="515"/>
      <c r="AK10" s="396"/>
      <c r="AL10" s="396"/>
      <c r="AM10" s="503" t="s">
        <v>583</v>
      </c>
      <c r="AN10" s="673">
        <f t="shared" si="2"/>
        <v>0</v>
      </c>
      <c r="AO10" s="504">
        <v>16</v>
      </c>
      <c r="AP10" s="286">
        <f t="shared" si="0"/>
        <v>0</v>
      </c>
    </row>
    <row r="11" spans="1:43">
      <c r="A11" s="503"/>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396"/>
      <c r="AL11" s="396"/>
      <c r="AM11" s="503"/>
      <c r="AN11" s="396"/>
      <c r="AO11" s="503"/>
      <c r="AP11" s="286"/>
    </row>
    <row r="12" spans="1:43">
      <c r="A12" s="667" t="s">
        <v>652</v>
      </c>
      <c r="B12" s="668"/>
      <c r="C12" s="668"/>
      <c r="D12" s="668"/>
      <c r="E12" s="550"/>
      <c r="F12" s="550"/>
      <c r="G12" s="551"/>
      <c r="H12" s="551"/>
      <c r="I12" s="669"/>
      <c r="J12" s="557"/>
      <c r="K12" s="668"/>
      <c r="L12" s="668"/>
      <c r="M12" s="550"/>
      <c r="N12" s="550"/>
      <c r="O12" s="551"/>
      <c r="P12" s="551"/>
      <c r="Q12" s="669"/>
      <c r="R12" s="669"/>
      <c r="S12" s="669"/>
      <c r="T12" s="554"/>
      <c r="U12" s="670"/>
      <c r="V12" s="668"/>
      <c r="W12" s="550"/>
      <c r="X12" s="550"/>
      <c r="Y12" s="551"/>
      <c r="Z12" s="551"/>
      <c r="AA12" s="669"/>
      <c r="AB12" s="670"/>
      <c r="AC12" s="670"/>
      <c r="AD12" s="669"/>
      <c r="AE12" s="669"/>
      <c r="AF12" s="669"/>
      <c r="AG12" s="669"/>
      <c r="AH12" s="669"/>
      <c r="AI12" s="669"/>
      <c r="AJ12" s="669"/>
      <c r="AK12" s="554"/>
      <c r="AL12" s="554"/>
      <c r="AM12" s="667"/>
      <c r="AN12" s="670"/>
      <c r="AO12" s="668"/>
      <c r="AP12" s="549"/>
      <c r="AQ12" s="328" t="e">
        <f>AVERAGE(AP13:AP14)</f>
        <v>#DIV/0!</v>
      </c>
    </row>
    <row r="13" spans="1:43">
      <c r="A13" s="503" t="s">
        <v>581</v>
      </c>
      <c r="B13" s="672"/>
      <c r="C13" s="504"/>
      <c r="D13" s="504"/>
      <c r="E13" s="401"/>
      <c r="F13" s="513"/>
      <c r="G13" s="514"/>
      <c r="H13" s="514"/>
      <c r="I13" s="401"/>
      <c r="J13" s="397"/>
      <c r="K13" s="321"/>
      <c r="L13" s="321"/>
      <c r="M13" s="401"/>
      <c r="N13" s="513"/>
      <c r="O13" s="514"/>
      <c r="P13" s="514"/>
      <c r="Q13" s="401"/>
      <c r="R13" s="513"/>
      <c r="S13" s="513"/>
      <c r="T13" s="503"/>
      <c r="U13" s="504"/>
      <c r="V13" s="504"/>
      <c r="W13" s="401"/>
      <c r="X13" s="513"/>
      <c r="Y13" s="514"/>
      <c r="Z13" s="514"/>
      <c r="AA13" s="401"/>
      <c r="AB13" s="403"/>
      <c r="AC13" s="403"/>
      <c r="AD13" s="401"/>
      <c r="AE13" s="401"/>
      <c r="AF13" s="401"/>
      <c r="AG13" s="401"/>
      <c r="AH13" s="401"/>
      <c r="AI13" s="513"/>
      <c r="AJ13" s="513"/>
      <c r="AK13" s="396"/>
      <c r="AL13" s="396"/>
      <c r="AM13" s="503"/>
      <c r="AN13" s="673"/>
      <c r="AO13" s="504"/>
      <c r="AP13" s="286"/>
    </row>
    <row r="14" spans="1:43">
      <c r="A14" s="503" t="s">
        <v>582</v>
      </c>
      <c r="B14" s="672"/>
      <c r="C14" s="504"/>
      <c r="D14" s="504"/>
      <c r="E14" s="401"/>
      <c r="F14" s="513"/>
      <c r="G14" s="514"/>
      <c r="H14" s="514"/>
      <c r="I14" s="401"/>
      <c r="J14" s="397"/>
      <c r="K14" s="321"/>
      <c r="L14" s="321"/>
      <c r="M14" s="401"/>
      <c r="N14" s="513"/>
      <c r="O14" s="514"/>
      <c r="P14" s="514"/>
      <c r="Q14" s="401"/>
      <c r="R14" s="513"/>
      <c r="S14" s="513"/>
      <c r="T14" s="503"/>
      <c r="U14" s="504"/>
      <c r="V14" s="504"/>
      <c r="W14" s="401"/>
      <c r="X14" s="513"/>
      <c r="Y14" s="514"/>
      <c r="Z14" s="514"/>
      <c r="AA14" s="401"/>
      <c r="AB14" s="403"/>
      <c r="AC14" s="403"/>
      <c r="AD14" s="401"/>
      <c r="AE14" s="401"/>
      <c r="AF14" s="401"/>
      <c r="AG14" s="401"/>
      <c r="AH14" s="401"/>
      <c r="AI14" s="513"/>
      <c r="AJ14" s="513"/>
      <c r="AK14" s="396"/>
      <c r="AL14" s="396"/>
      <c r="AM14" s="503"/>
      <c r="AN14" s="673"/>
      <c r="AO14" s="504"/>
      <c r="AP14" s="286"/>
    </row>
    <row r="15" spans="1:43">
      <c r="A15" s="503"/>
      <c r="B15" s="503"/>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396"/>
      <c r="AL15" s="396"/>
      <c r="AM15" s="503"/>
      <c r="AN15" s="396"/>
      <c r="AO15" s="503"/>
      <c r="AP15" s="674"/>
    </row>
    <row r="16" spans="1:43">
      <c r="A16" s="667" t="s">
        <v>653</v>
      </c>
      <c r="B16" s="668"/>
      <c r="C16" s="668"/>
      <c r="D16" s="668"/>
      <c r="E16" s="550"/>
      <c r="F16" s="550"/>
      <c r="G16" s="551"/>
      <c r="H16" s="551"/>
      <c r="I16" s="669"/>
      <c r="J16" s="557"/>
      <c r="K16" s="668"/>
      <c r="L16" s="668"/>
      <c r="M16" s="550"/>
      <c r="N16" s="550"/>
      <c r="O16" s="551"/>
      <c r="P16" s="551"/>
      <c r="Q16" s="669"/>
      <c r="R16" s="669"/>
      <c r="S16" s="669"/>
      <c r="T16" s="554"/>
      <c r="U16" s="668"/>
      <c r="V16" s="668"/>
      <c r="W16" s="550"/>
      <c r="X16" s="550"/>
      <c r="Y16" s="551"/>
      <c r="Z16" s="551"/>
      <c r="AA16" s="669"/>
      <c r="AB16" s="670"/>
      <c r="AC16" s="670"/>
      <c r="AD16" s="669"/>
      <c r="AE16" s="669"/>
      <c r="AF16" s="669"/>
      <c r="AG16" s="669"/>
      <c r="AH16" s="669"/>
      <c r="AI16" s="669"/>
      <c r="AJ16" s="669"/>
      <c r="AK16" s="554"/>
      <c r="AL16" s="554"/>
      <c r="AM16" s="667"/>
      <c r="AN16" s="668"/>
      <c r="AO16" s="668"/>
      <c r="AP16" s="549"/>
      <c r="AQ16" s="328" t="e">
        <f>AVERAGE(AP17:AP18)</f>
        <v>#DIV/0!</v>
      </c>
    </row>
    <row r="17" spans="1:43">
      <c r="A17" s="503" t="s">
        <v>581</v>
      </c>
      <c r="B17" s="675"/>
      <c r="C17" s="504"/>
      <c r="D17" s="397"/>
      <c r="E17" s="401"/>
      <c r="F17" s="513"/>
      <c r="G17" s="514"/>
      <c r="H17" s="514"/>
      <c r="I17" s="401"/>
      <c r="J17" s="397"/>
      <c r="K17" s="676"/>
      <c r="L17" s="677"/>
      <c r="M17" s="401"/>
      <c r="N17" s="513"/>
      <c r="O17" s="514"/>
      <c r="P17" s="514"/>
      <c r="Q17" s="401"/>
      <c r="R17" s="513"/>
      <c r="S17" s="513"/>
      <c r="T17" s="503"/>
      <c r="U17" s="504"/>
      <c r="V17" s="504"/>
      <c r="W17" s="401"/>
      <c r="X17" s="513"/>
      <c r="Y17" s="514"/>
      <c r="Z17" s="514"/>
      <c r="AA17" s="401"/>
      <c r="AB17" s="403"/>
      <c r="AC17" s="403"/>
      <c r="AD17" s="401"/>
      <c r="AE17" s="401"/>
      <c r="AF17" s="401"/>
      <c r="AG17" s="401"/>
      <c r="AH17" s="401"/>
      <c r="AI17" s="513"/>
      <c r="AJ17" s="513"/>
      <c r="AK17" s="396"/>
      <c r="AL17" s="396"/>
      <c r="AM17" s="503"/>
      <c r="AN17" s="673"/>
      <c r="AO17" s="543"/>
      <c r="AP17" s="678"/>
    </row>
    <row r="18" spans="1:43">
      <c r="A18" s="503" t="s">
        <v>582</v>
      </c>
      <c r="B18" s="672"/>
      <c r="C18" s="504"/>
      <c r="D18" s="397"/>
      <c r="E18" s="401"/>
      <c r="F18" s="513"/>
      <c r="G18" s="514"/>
      <c r="H18" s="514"/>
      <c r="I18" s="401"/>
      <c r="J18" s="397"/>
      <c r="K18" s="676"/>
      <c r="L18" s="677"/>
      <c r="M18" s="401"/>
      <c r="N18" s="513"/>
      <c r="O18" s="514"/>
      <c r="P18" s="514"/>
      <c r="Q18" s="401"/>
      <c r="R18" s="513"/>
      <c r="S18" s="513"/>
      <c r="T18" s="503"/>
      <c r="U18" s="504"/>
      <c r="V18" s="504"/>
      <c r="W18" s="401"/>
      <c r="X18" s="513"/>
      <c r="Y18" s="514"/>
      <c r="Z18" s="514"/>
      <c r="AA18" s="401"/>
      <c r="AB18" s="403"/>
      <c r="AC18" s="403"/>
      <c r="AD18" s="401"/>
      <c r="AE18" s="401"/>
      <c r="AF18" s="401"/>
      <c r="AG18" s="401"/>
      <c r="AH18" s="401"/>
      <c r="AI18" s="513"/>
      <c r="AJ18" s="513"/>
      <c r="AK18" s="396"/>
      <c r="AL18" s="396"/>
      <c r="AM18" s="503"/>
      <c r="AN18" s="673"/>
      <c r="AO18" s="543"/>
      <c r="AP18" s="678"/>
    </row>
    <row r="19" spans="1:43">
      <c r="A19" s="503"/>
      <c r="B19" s="503"/>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396"/>
      <c r="AL19" s="396"/>
      <c r="AM19" s="503"/>
      <c r="AN19" s="396"/>
      <c r="AO19" s="503"/>
      <c r="AP19" s="679"/>
    </row>
    <row r="20" spans="1:43">
      <c r="A20" s="667" t="s">
        <v>654</v>
      </c>
      <c r="B20" s="668"/>
      <c r="C20" s="668"/>
      <c r="D20" s="668"/>
      <c r="E20" s="550"/>
      <c r="F20" s="550"/>
      <c r="G20" s="551"/>
      <c r="H20" s="551"/>
      <c r="I20" s="669"/>
      <c r="J20" s="557"/>
      <c r="K20" s="668"/>
      <c r="L20" s="668"/>
      <c r="M20" s="550"/>
      <c r="N20" s="550"/>
      <c r="O20" s="551"/>
      <c r="P20" s="551"/>
      <c r="Q20" s="669"/>
      <c r="R20" s="669"/>
      <c r="S20" s="669"/>
      <c r="T20" s="554"/>
      <c r="U20" s="668"/>
      <c r="V20" s="668"/>
      <c r="W20" s="550"/>
      <c r="X20" s="550"/>
      <c r="Y20" s="551"/>
      <c r="Z20" s="551"/>
      <c r="AA20" s="669"/>
      <c r="AB20" s="670"/>
      <c r="AC20" s="670"/>
      <c r="AD20" s="669"/>
      <c r="AE20" s="669"/>
      <c r="AF20" s="669"/>
      <c r="AG20" s="669"/>
      <c r="AH20" s="669"/>
      <c r="AI20" s="669"/>
      <c r="AJ20" s="669"/>
      <c r="AK20" s="554"/>
      <c r="AL20" s="554"/>
      <c r="AM20" s="667"/>
      <c r="AN20" s="670"/>
      <c r="AO20" s="668"/>
      <c r="AP20" s="549"/>
      <c r="AQ20" s="328" t="e">
        <f>AVERAGE(AP21:AP24)</f>
        <v>#DIV/0!</v>
      </c>
    </row>
    <row r="21" spans="1:43">
      <c r="A21" s="503" t="s">
        <v>581</v>
      </c>
      <c r="B21" s="672"/>
      <c r="C21" s="523"/>
      <c r="D21" s="397"/>
      <c r="E21" s="401"/>
      <c r="F21" s="513"/>
      <c r="G21" s="523"/>
      <c r="H21" s="523"/>
      <c r="I21" s="401"/>
      <c r="J21" s="397"/>
      <c r="K21" s="321"/>
      <c r="L21" s="397"/>
      <c r="M21" s="401"/>
      <c r="N21" s="513"/>
      <c r="O21" s="523"/>
      <c r="P21" s="523"/>
      <c r="Q21" s="513"/>
      <c r="R21" s="513"/>
      <c r="S21" s="513"/>
      <c r="T21" s="503"/>
      <c r="U21" s="523"/>
      <c r="V21" s="397"/>
      <c r="W21" s="401"/>
      <c r="X21" s="513"/>
      <c r="Y21" s="523"/>
      <c r="Z21" s="523"/>
      <c r="AA21" s="513"/>
      <c r="AB21" s="403"/>
      <c r="AC21" s="403"/>
      <c r="AD21" s="401"/>
      <c r="AE21" s="401"/>
      <c r="AF21" s="513"/>
      <c r="AG21" s="513"/>
      <c r="AH21" s="513"/>
      <c r="AI21" s="513"/>
      <c r="AJ21" s="513"/>
      <c r="AK21" s="396"/>
      <c r="AL21" s="396"/>
      <c r="AM21" s="503"/>
      <c r="AN21" s="673"/>
      <c r="AO21" s="504"/>
      <c r="AP21" s="286"/>
    </row>
    <row r="22" spans="1:43">
      <c r="A22" s="503" t="s">
        <v>582</v>
      </c>
      <c r="B22" s="672"/>
      <c r="C22" s="523"/>
      <c r="D22" s="397"/>
      <c r="E22" s="401"/>
      <c r="F22" s="513"/>
      <c r="G22" s="514"/>
      <c r="H22" s="514"/>
      <c r="I22" s="401"/>
      <c r="J22" s="397"/>
      <c r="K22" s="321"/>
      <c r="L22" s="397"/>
      <c r="M22" s="401"/>
      <c r="N22" s="513"/>
      <c r="O22" s="514"/>
      <c r="P22" s="514"/>
      <c r="Q22" s="401"/>
      <c r="R22" s="513"/>
      <c r="S22" s="513"/>
      <c r="T22" s="503"/>
      <c r="U22" s="523"/>
      <c r="V22" s="397"/>
      <c r="W22" s="401"/>
      <c r="X22" s="513"/>
      <c r="Y22" s="514"/>
      <c r="Z22" s="514"/>
      <c r="AA22" s="401"/>
      <c r="AB22" s="403"/>
      <c r="AC22" s="403"/>
      <c r="AD22" s="401"/>
      <c r="AE22" s="401"/>
      <c r="AF22" s="401"/>
      <c r="AG22" s="401"/>
      <c r="AH22" s="401"/>
      <c r="AI22" s="513"/>
      <c r="AJ22" s="513"/>
      <c r="AK22" s="396"/>
      <c r="AL22" s="396"/>
      <c r="AM22" s="503"/>
      <c r="AN22" s="673"/>
      <c r="AO22" s="504"/>
      <c r="AP22" s="680"/>
    </row>
    <row r="23" spans="1:43">
      <c r="A23" s="503" t="s">
        <v>583</v>
      </c>
      <c r="B23" s="672"/>
      <c r="C23" s="523"/>
      <c r="D23" s="397"/>
      <c r="E23" s="401"/>
      <c r="F23" s="513"/>
      <c r="G23" s="514"/>
      <c r="H23" s="514"/>
      <c r="I23" s="401"/>
      <c r="J23" s="397"/>
      <c r="K23" s="321"/>
      <c r="L23" s="397"/>
      <c r="M23" s="401"/>
      <c r="N23" s="513"/>
      <c r="O23" s="514"/>
      <c r="P23" s="514"/>
      <c r="Q23" s="401"/>
      <c r="R23" s="513"/>
      <c r="S23" s="513"/>
      <c r="T23" s="503"/>
      <c r="U23" s="523"/>
      <c r="V23" s="397"/>
      <c r="W23" s="401"/>
      <c r="X23" s="513"/>
      <c r="Y23" s="514"/>
      <c r="Z23" s="514"/>
      <c r="AA23" s="401"/>
      <c r="AB23" s="403"/>
      <c r="AC23" s="403"/>
      <c r="AD23" s="401"/>
      <c r="AE23" s="401"/>
      <c r="AF23" s="401"/>
      <c r="AG23" s="401"/>
      <c r="AH23" s="401"/>
      <c r="AI23" s="513"/>
      <c r="AJ23" s="513"/>
      <c r="AK23" s="396"/>
      <c r="AL23" s="396"/>
      <c r="AM23" s="503"/>
      <c r="AN23" s="673"/>
      <c r="AO23" s="504"/>
      <c r="AP23" s="680"/>
    </row>
    <row r="24" spans="1:43">
      <c r="A24" s="503" t="s">
        <v>588</v>
      </c>
      <c r="B24" s="1272"/>
      <c r="C24" s="1273"/>
      <c r="D24" s="1274"/>
      <c r="E24" s="401"/>
      <c r="F24" s="513"/>
      <c r="G24" s="514"/>
      <c r="H24" s="514"/>
      <c r="I24" s="401"/>
      <c r="J24" s="397"/>
      <c r="K24" s="321"/>
      <c r="L24" s="397"/>
      <c r="M24" s="401"/>
      <c r="N24" s="513"/>
      <c r="O24" s="514"/>
      <c r="P24" s="514"/>
      <c r="Q24" s="401"/>
      <c r="R24" s="513"/>
      <c r="S24" s="513"/>
      <c r="T24" s="503"/>
      <c r="U24" s="523"/>
      <c r="V24" s="397"/>
      <c r="W24" s="401"/>
      <c r="X24" s="513"/>
      <c r="Y24" s="514"/>
      <c r="Z24" s="514"/>
      <c r="AA24" s="401"/>
      <c r="AB24" s="403"/>
      <c r="AC24" s="403"/>
      <c r="AD24" s="401"/>
      <c r="AE24" s="401"/>
      <c r="AF24" s="401"/>
      <c r="AG24" s="401"/>
      <c r="AH24" s="401"/>
      <c r="AI24" s="513"/>
      <c r="AJ24" s="513"/>
      <c r="AK24" s="396"/>
      <c r="AL24" s="396"/>
      <c r="AM24" s="503"/>
      <c r="AN24" s="673"/>
      <c r="AO24" s="1275"/>
      <c r="AP24" s="680"/>
    </row>
    <row r="25" spans="1:43">
      <c r="A25" s="503"/>
      <c r="B25" s="503"/>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396"/>
      <c r="AL25" s="396"/>
      <c r="AM25" s="503"/>
      <c r="AN25" s="396"/>
      <c r="AO25" s="503"/>
      <c r="AP25" s="286"/>
    </row>
    <row r="26" spans="1:43">
      <c r="A26" s="667" t="s">
        <v>655</v>
      </c>
      <c r="B26" s="668"/>
      <c r="C26" s="668"/>
      <c r="D26" s="668"/>
      <c r="E26" s="550"/>
      <c r="F26" s="550"/>
      <c r="G26" s="551"/>
      <c r="H26" s="551"/>
      <c r="I26" s="669"/>
      <c r="J26" s="557"/>
      <c r="K26" s="668"/>
      <c r="L26" s="668"/>
      <c r="M26" s="550"/>
      <c r="N26" s="550"/>
      <c r="O26" s="551"/>
      <c r="P26" s="551"/>
      <c r="Q26" s="669"/>
      <c r="R26" s="669"/>
      <c r="S26" s="669"/>
      <c r="T26" s="554"/>
      <c r="U26" s="668"/>
      <c r="V26" s="668"/>
      <c r="W26" s="550"/>
      <c r="X26" s="550"/>
      <c r="Y26" s="551"/>
      <c r="Z26" s="551"/>
      <c r="AA26" s="669"/>
      <c r="AB26" s="670"/>
      <c r="AC26" s="670"/>
      <c r="AD26" s="669"/>
      <c r="AE26" s="669"/>
      <c r="AF26" s="669"/>
      <c r="AG26" s="669"/>
      <c r="AH26" s="669"/>
      <c r="AI26" s="669"/>
      <c r="AJ26" s="669"/>
      <c r="AK26" s="554"/>
      <c r="AL26" s="554"/>
      <c r="AM26" s="667"/>
      <c r="AN26" s="670"/>
      <c r="AO26" s="668"/>
      <c r="AP26" s="549"/>
      <c r="AQ26" s="328" t="e">
        <f>AVERAGE(AP27:AP28)</f>
        <v>#DIV/0!</v>
      </c>
    </row>
    <row r="27" spans="1:43">
      <c r="A27" s="503" t="s">
        <v>581</v>
      </c>
      <c r="B27" s="672"/>
      <c r="C27" s="504"/>
      <c r="D27" s="397"/>
      <c r="E27" s="401"/>
      <c r="F27" s="513"/>
      <c r="G27" s="514"/>
      <c r="H27" s="514"/>
      <c r="I27" s="401"/>
      <c r="J27" s="397"/>
      <c r="K27" s="321"/>
      <c r="L27" s="321"/>
      <c r="M27" s="401"/>
      <c r="N27" s="513"/>
      <c r="O27" s="514"/>
      <c r="P27" s="514"/>
      <c r="Q27" s="513"/>
      <c r="R27" s="513"/>
      <c r="S27" s="513"/>
      <c r="T27" s="503"/>
      <c r="U27" s="504"/>
      <c r="V27" s="397"/>
      <c r="W27" s="401"/>
      <c r="X27" s="513"/>
      <c r="Y27" s="514"/>
      <c r="Z27" s="514"/>
      <c r="AA27" s="513"/>
      <c r="AB27" s="403"/>
      <c r="AC27" s="403"/>
      <c r="AD27" s="401"/>
      <c r="AE27" s="401"/>
      <c r="AF27" s="513"/>
      <c r="AG27" s="513"/>
      <c r="AH27" s="513"/>
      <c r="AI27" s="513"/>
      <c r="AJ27" s="513"/>
      <c r="AK27" s="396"/>
      <c r="AL27" s="396"/>
      <c r="AM27" s="503"/>
      <c r="AN27" s="673"/>
      <c r="AO27" s="504"/>
      <c r="AP27" s="680"/>
    </row>
    <row r="28" spans="1:43">
      <c r="A28" s="503" t="s">
        <v>582</v>
      </c>
      <c r="B28" s="672"/>
      <c r="C28" s="504"/>
      <c r="D28" s="397"/>
      <c r="E28" s="401"/>
      <c r="F28" s="513"/>
      <c r="G28" s="514"/>
      <c r="H28" s="514"/>
      <c r="I28" s="401"/>
      <c r="J28" s="397"/>
      <c r="K28" s="321"/>
      <c r="L28" s="321"/>
      <c r="M28" s="401"/>
      <c r="N28" s="513"/>
      <c r="O28" s="514"/>
      <c r="P28" s="514"/>
      <c r="Q28" s="401"/>
      <c r="R28" s="513"/>
      <c r="S28" s="513"/>
      <c r="T28" s="503"/>
      <c r="U28" s="504"/>
      <c r="V28" s="397"/>
      <c r="W28" s="401"/>
      <c r="X28" s="513"/>
      <c r="Y28" s="514"/>
      <c r="Z28" s="514"/>
      <c r="AA28" s="401"/>
      <c r="AB28" s="403"/>
      <c r="AC28" s="403"/>
      <c r="AD28" s="401"/>
      <c r="AE28" s="401"/>
      <c r="AF28" s="401"/>
      <c r="AG28" s="401"/>
      <c r="AH28" s="401"/>
      <c r="AI28" s="513"/>
      <c r="AJ28" s="513"/>
      <c r="AK28" s="396"/>
      <c r="AL28" s="396"/>
      <c r="AM28" s="503"/>
      <c r="AN28" s="673"/>
      <c r="AO28" s="504"/>
      <c r="AP28" s="680"/>
    </row>
    <row r="29" spans="1:43">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396"/>
      <c r="AL29" s="396"/>
      <c r="AM29" s="503"/>
      <c r="AN29" s="396"/>
      <c r="AO29" s="503"/>
      <c r="AP29" s="286"/>
    </row>
    <row r="30" spans="1:43">
      <c r="A30" s="667" t="s">
        <v>656</v>
      </c>
      <c r="B30" s="668"/>
      <c r="C30" s="668"/>
      <c r="D30" s="668"/>
      <c r="E30" s="550"/>
      <c r="F30" s="550"/>
      <c r="G30" s="551"/>
      <c r="H30" s="551"/>
      <c r="I30" s="669"/>
      <c r="J30" s="557"/>
      <c r="K30" s="668"/>
      <c r="L30" s="668"/>
      <c r="M30" s="550"/>
      <c r="N30" s="550"/>
      <c r="O30" s="551"/>
      <c r="P30" s="551"/>
      <c r="Q30" s="669"/>
      <c r="R30" s="669"/>
      <c r="S30" s="669"/>
      <c r="T30" s="554"/>
      <c r="U30" s="668"/>
      <c r="V30" s="668"/>
      <c r="W30" s="550"/>
      <c r="X30" s="550"/>
      <c r="Y30" s="551"/>
      <c r="Z30" s="551"/>
      <c r="AA30" s="669"/>
      <c r="AB30" s="670"/>
      <c r="AC30" s="670"/>
      <c r="AD30" s="669"/>
      <c r="AE30" s="669"/>
      <c r="AF30" s="669"/>
      <c r="AG30" s="669"/>
      <c r="AH30" s="669"/>
      <c r="AI30" s="669"/>
      <c r="AJ30" s="669"/>
      <c r="AK30" s="554"/>
      <c r="AL30" s="554"/>
      <c r="AM30" s="667"/>
      <c r="AN30" s="670"/>
      <c r="AO30" s="668"/>
      <c r="AP30" s="549"/>
      <c r="AQ30" s="328" t="e">
        <f>AVERAGE(AP31:AP32)</f>
        <v>#DIV/0!</v>
      </c>
    </row>
    <row r="31" spans="1:43">
      <c r="A31" s="503" t="s">
        <v>581</v>
      </c>
      <c r="B31" s="672"/>
      <c r="C31" s="504"/>
      <c r="D31" s="397"/>
      <c r="E31" s="401"/>
      <c r="F31" s="513"/>
      <c r="G31" s="514"/>
      <c r="H31" s="513"/>
      <c r="I31" s="401"/>
      <c r="J31" s="397"/>
      <c r="K31" s="321"/>
      <c r="L31" s="321"/>
      <c r="M31" s="401"/>
      <c r="N31" s="513"/>
      <c r="O31" s="514"/>
      <c r="P31" s="513"/>
      <c r="Q31" s="513"/>
      <c r="R31" s="513"/>
      <c r="S31" s="513"/>
      <c r="T31" s="503"/>
      <c r="U31" s="504"/>
      <c r="V31" s="397"/>
      <c r="W31" s="401"/>
      <c r="X31" s="513"/>
      <c r="Y31" s="514"/>
      <c r="Z31" s="513"/>
      <c r="AA31" s="513"/>
      <c r="AB31" s="523"/>
      <c r="AC31" s="523"/>
      <c r="AD31" s="401"/>
      <c r="AE31" s="401"/>
      <c r="AF31" s="513"/>
      <c r="AG31" s="513"/>
      <c r="AH31" s="513"/>
      <c r="AI31" s="513"/>
      <c r="AJ31" s="513"/>
      <c r="AK31" s="396"/>
      <c r="AL31" s="396"/>
      <c r="AM31" s="503"/>
      <c r="AN31" s="673"/>
      <c r="AO31" s="504"/>
      <c r="AP31" s="680"/>
    </row>
    <row r="32" spans="1:43">
      <c r="A32" s="503" t="s">
        <v>582</v>
      </c>
      <c r="B32" s="672"/>
      <c r="C32" s="504"/>
      <c r="D32" s="397"/>
      <c r="E32" s="401"/>
      <c r="F32" s="513"/>
      <c r="G32" s="514"/>
      <c r="H32" s="514"/>
      <c r="I32" s="401"/>
      <c r="J32" s="397"/>
      <c r="K32" s="321"/>
      <c r="L32" s="321"/>
      <c r="M32" s="401"/>
      <c r="N32" s="513"/>
      <c r="O32" s="514"/>
      <c r="P32" s="514"/>
      <c r="Q32" s="401"/>
      <c r="R32" s="513"/>
      <c r="S32" s="513"/>
      <c r="T32" s="503"/>
      <c r="U32" s="504"/>
      <c r="V32" s="504"/>
      <c r="W32" s="401"/>
      <c r="X32" s="513"/>
      <c r="Y32" s="514"/>
      <c r="Z32" s="514"/>
      <c r="AA32" s="401"/>
      <c r="AB32" s="523"/>
      <c r="AC32" s="523"/>
      <c r="AD32" s="401"/>
      <c r="AE32" s="401"/>
      <c r="AF32" s="401"/>
      <c r="AG32" s="401"/>
      <c r="AH32" s="401"/>
      <c r="AI32" s="513"/>
      <c r="AJ32" s="513"/>
      <c r="AK32" s="396"/>
      <c r="AL32" s="396"/>
      <c r="AM32" s="503"/>
      <c r="AN32" s="673"/>
      <c r="AO32" s="504"/>
      <c r="AP32" s="680"/>
    </row>
    <row r="33" spans="1:43">
      <c r="A33" s="503"/>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396"/>
      <c r="AL33" s="396"/>
      <c r="AM33" s="503"/>
      <c r="AN33" s="396"/>
      <c r="AO33" s="503"/>
      <c r="AP33" s="674"/>
    </row>
    <row r="34" spans="1:43">
      <c r="A34" s="667" t="s">
        <v>657</v>
      </c>
      <c r="B34" s="668"/>
      <c r="C34" s="668"/>
      <c r="D34" s="668"/>
      <c r="E34" s="550"/>
      <c r="F34" s="550"/>
      <c r="G34" s="551"/>
      <c r="H34" s="551"/>
      <c r="I34" s="669"/>
      <c r="J34" s="557"/>
      <c r="K34" s="668"/>
      <c r="L34" s="668"/>
      <c r="M34" s="550"/>
      <c r="N34" s="550"/>
      <c r="O34" s="551"/>
      <c r="P34" s="551"/>
      <c r="Q34" s="550"/>
      <c r="R34" s="550"/>
      <c r="S34" s="550"/>
      <c r="T34" s="554"/>
      <c r="U34" s="668"/>
      <c r="V34" s="668"/>
      <c r="W34" s="550"/>
      <c r="X34" s="550"/>
      <c r="Y34" s="551"/>
      <c r="Z34" s="551"/>
      <c r="AA34" s="550"/>
      <c r="AB34" s="559"/>
      <c r="AC34" s="559"/>
      <c r="AD34" s="669"/>
      <c r="AE34" s="669"/>
      <c r="AF34" s="550"/>
      <c r="AG34" s="550"/>
      <c r="AH34" s="550"/>
      <c r="AI34" s="550"/>
      <c r="AJ34" s="550"/>
      <c r="AK34" s="554"/>
      <c r="AL34" s="554"/>
      <c r="AM34" s="667"/>
      <c r="AN34" s="670"/>
      <c r="AO34" s="668"/>
      <c r="AP34" s="549"/>
      <c r="AQ34">
        <v>44</v>
      </c>
    </row>
    <row r="35" spans="1:43">
      <c r="A35" s="503" t="s">
        <v>581</v>
      </c>
      <c r="B35" s="672"/>
      <c r="C35" s="504"/>
      <c r="D35" s="397"/>
      <c r="E35" s="401"/>
      <c r="F35" s="513"/>
      <c r="G35" s="514"/>
      <c r="H35" s="514"/>
      <c r="I35" s="401"/>
      <c r="J35" s="397"/>
      <c r="K35" s="504"/>
      <c r="L35" s="504"/>
      <c r="M35" s="401"/>
      <c r="N35" s="513"/>
      <c r="O35" s="514"/>
      <c r="P35" s="514"/>
      <c r="Q35" s="401"/>
      <c r="R35" s="513"/>
      <c r="S35" s="513"/>
      <c r="T35" s="503"/>
      <c r="U35" s="504"/>
      <c r="V35" s="504"/>
      <c r="W35" s="401"/>
      <c r="X35" s="513"/>
      <c r="Y35" s="514"/>
      <c r="Z35" s="514"/>
      <c r="AA35" s="401"/>
      <c r="AB35" s="403"/>
      <c r="AC35" s="523"/>
      <c r="AD35" s="401"/>
      <c r="AE35" s="401"/>
      <c r="AF35" s="401"/>
      <c r="AG35" s="401"/>
      <c r="AH35" s="401"/>
      <c r="AI35" s="513"/>
      <c r="AJ35" s="513"/>
      <c r="AK35" s="396"/>
      <c r="AL35" s="396"/>
      <c r="AM35" s="503"/>
      <c r="AN35" s="673"/>
      <c r="AO35" s="504"/>
      <c r="AP35" s="680"/>
    </row>
    <row r="36" spans="1:43">
      <c r="A36" s="503"/>
      <c r="B36" s="503"/>
      <c r="C36" s="503"/>
      <c r="D36" s="503"/>
      <c r="E36" s="503"/>
      <c r="F36" s="401"/>
      <c r="G36" s="401"/>
      <c r="H36" s="401"/>
      <c r="I36" s="401"/>
      <c r="J36" s="503"/>
      <c r="K36" s="503"/>
      <c r="L36" s="503"/>
      <c r="M36" s="503"/>
      <c r="N36" s="401"/>
      <c r="O36" s="401"/>
      <c r="P36" s="401"/>
      <c r="Q36" s="401"/>
      <c r="R36" s="503"/>
      <c r="S36" s="503"/>
      <c r="T36" s="503"/>
      <c r="U36" s="503"/>
      <c r="V36" s="503"/>
      <c r="W36" s="503"/>
      <c r="X36" s="401"/>
      <c r="Y36" s="401"/>
      <c r="Z36" s="401"/>
      <c r="AA36" s="401"/>
      <c r="AB36" s="401"/>
      <c r="AC36" s="401"/>
      <c r="AD36" s="401"/>
      <c r="AE36" s="401"/>
      <c r="AF36" s="401"/>
      <c r="AG36" s="401"/>
      <c r="AH36" s="401"/>
      <c r="AI36" s="503"/>
      <c r="AJ36" s="503"/>
      <c r="AK36" s="396"/>
      <c r="AL36" s="396"/>
      <c r="AM36" s="503"/>
      <c r="AN36" s="396"/>
      <c r="AO36" s="503"/>
      <c r="AP36" s="674"/>
    </row>
    <row r="37" spans="1:43">
      <c r="A37" s="667" t="s">
        <v>658</v>
      </c>
      <c r="B37" s="668"/>
      <c r="C37" s="668"/>
      <c r="D37" s="668"/>
      <c r="E37" s="550"/>
      <c r="F37" s="550"/>
      <c r="G37" s="551"/>
      <c r="H37" s="551"/>
      <c r="I37" s="669"/>
      <c r="J37" s="557"/>
      <c r="K37" s="668"/>
      <c r="L37" s="668"/>
      <c r="M37" s="550"/>
      <c r="N37" s="550"/>
      <c r="O37" s="551"/>
      <c r="P37" s="551"/>
      <c r="Q37" s="669"/>
      <c r="R37" s="669"/>
      <c r="S37" s="669"/>
      <c r="T37" s="554"/>
      <c r="U37" s="668"/>
      <c r="V37" s="668"/>
      <c r="W37" s="550"/>
      <c r="X37" s="550"/>
      <c r="Y37" s="551"/>
      <c r="Z37" s="551"/>
      <c r="AA37" s="669"/>
      <c r="AB37" s="670"/>
      <c r="AC37" s="670"/>
      <c r="AD37" s="669"/>
      <c r="AE37" s="669"/>
      <c r="AF37" s="669"/>
      <c r="AG37" s="669"/>
      <c r="AH37" s="669"/>
      <c r="AI37" s="669"/>
      <c r="AJ37" s="669"/>
      <c r="AK37" s="554"/>
      <c r="AL37" s="554"/>
      <c r="AM37" s="667"/>
      <c r="AN37" s="670"/>
      <c r="AO37" s="668"/>
      <c r="AP37" s="549"/>
      <c r="AQ37" s="328" t="e">
        <f>AVERAGE(AP38:AP40)</f>
        <v>#DIV/0!</v>
      </c>
    </row>
    <row r="38" spans="1:43">
      <c r="A38" s="503" t="s">
        <v>581</v>
      </c>
      <c r="B38" s="672"/>
      <c r="C38" s="504"/>
      <c r="D38" s="397"/>
      <c r="E38" s="401"/>
      <c r="F38" s="401"/>
      <c r="G38" s="943"/>
      <c r="H38" s="681"/>
      <c r="I38" s="682"/>
      <c r="J38" s="397"/>
      <c r="K38" s="504"/>
      <c r="L38" s="397"/>
      <c r="M38" s="401"/>
      <c r="N38" s="513"/>
      <c r="O38" s="514"/>
      <c r="P38" s="514"/>
      <c r="Q38" s="401"/>
      <c r="R38" s="513"/>
      <c r="S38" s="513"/>
      <c r="T38" s="503"/>
      <c r="U38" s="504"/>
      <c r="V38" s="397"/>
      <c r="W38" s="401"/>
      <c r="X38" s="513"/>
      <c r="Y38" s="514"/>
      <c r="Z38" s="514"/>
      <c r="AA38" s="401"/>
      <c r="AB38" s="403"/>
      <c r="AC38" s="403"/>
      <c r="AD38" s="401"/>
      <c r="AE38" s="401"/>
      <c r="AF38" s="401"/>
      <c r="AG38" s="401"/>
      <c r="AH38" s="401"/>
      <c r="AI38" s="513"/>
      <c r="AJ38" s="513"/>
      <c r="AK38" s="396"/>
      <c r="AL38" s="396"/>
      <c r="AM38" s="503"/>
      <c r="AN38" s="673"/>
      <c r="AO38" s="504"/>
      <c r="AP38" s="680"/>
    </row>
    <row r="39" spans="1:43">
      <c r="A39" s="503" t="s">
        <v>582</v>
      </c>
      <c r="B39" s="672"/>
      <c r="C39" s="504"/>
      <c r="D39" s="397"/>
      <c r="E39" s="401"/>
      <c r="F39" s="513"/>
      <c r="G39" s="944"/>
      <c r="H39" s="681"/>
      <c r="I39" s="682"/>
      <c r="J39" s="397"/>
      <c r="K39" s="504"/>
      <c r="L39" s="397"/>
      <c r="M39" s="401"/>
      <c r="N39" s="513"/>
      <c r="O39" s="514"/>
      <c r="P39" s="514"/>
      <c r="Q39" s="401"/>
      <c r="R39" s="513"/>
      <c r="S39" s="513"/>
      <c r="T39" s="503"/>
      <c r="U39" s="504"/>
      <c r="V39" s="397"/>
      <c r="W39" s="401"/>
      <c r="X39" s="513"/>
      <c r="Y39" s="514"/>
      <c r="Z39" s="514"/>
      <c r="AA39" s="401"/>
      <c r="AB39" s="403"/>
      <c r="AC39" s="403"/>
      <c r="AD39" s="401"/>
      <c r="AE39" s="401"/>
      <c r="AF39" s="401"/>
      <c r="AG39" s="401"/>
      <c r="AH39" s="401"/>
      <c r="AI39" s="513"/>
      <c r="AJ39" s="513"/>
      <c r="AK39" s="396"/>
      <c r="AL39" s="396"/>
      <c r="AM39" s="503"/>
      <c r="AN39" s="673"/>
      <c r="AO39" s="504"/>
      <c r="AP39" s="680"/>
    </row>
    <row r="40" spans="1:43">
      <c r="A40" s="503" t="s">
        <v>583</v>
      </c>
      <c r="B40" s="672"/>
      <c r="C40" s="672"/>
      <c r="D40" s="397"/>
      <c r="E40" s="401"/>
      <c r="F40" s="513"/>
      <c r="G40" s="945"/>
      <c r="H40" s="681"/>
      <c r="I40" s="682"/>
      <c r="J40" s="397"/>
      <c r="K40" s="672"/>
      <c r="L40" s="397"/>
      <c r="M40" s="401"/>
      <c r="N40" s="513"/>
      <c r="O40" s="514"/>
      <c r="P40" s="514"/>
      <c r="Q40" s="401"/>
      <c r="R40" s="513"/>
      <c r="S40" s="513"/>
      <c r="T40" s="503"/>
      <c r="U40" s="672"/>
      <c r="V40" s="397"/>
      <c r="W40" s="401"/>
      <c r="X40" s="513"/>
      <c r="Y40" s="514"/>
      <c r="Z40" s="514"/>
      <c r="AA40" s="401"/>
      <c r="AB40" s="683"/>
      <c r="AC40" s="403"/>
      <c r="AD40" s="401"/>
      <c r="AE40" s="401"/>
      <c r="AF40" s="401"/>
      <c r="AG40" s="401"/>
      <c r="AH40" s="401"/>
      <c r="AI40" s="513"/>
      <c r="AJ40" s="513"/>
      <c r="AK40" s="396"/>
      <c r="AL40" s="396"/>
      <c r="AM40" s="503"/>
      <c r="AN40" s="673"/>
      <c r="AO40" s="504"/>
      <c r="AP40" s="680"/>
    </row>
    <row r="41" spans="1:43">
      <c r="A41" s="503"/>
      <c r="B41" s="503"/>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396"/>
      <c r="AL41" s="396"/>
      <c r="AM41" s="396"/>
      <c r="AN41" s="684">
        <f>AN37+AN34+AN26+AN20+AN16+AN12+AN7</f>
        <v>0</v>
      </c>
      <c r="AO41" s="684">
        <f>AO37+AO34+AO26+AO20+AO16+AO12+AO7</f>
        <v>0</v>
      </c>
    </row>
    <row r="42" spans="1:43" ht="30">
      <c r="A42" s="685" t="s">
        <v>659</v>
      </c>
      <c r="B42" s="686">
        <f>B37+B34+B30+B26+B20+B16+B12+B7</f>
        <v>0</v>
      </c>
      <c r="C42" s="686">
        <f>C37+C34+C30+C26+C20+C16+C12+C7</f>
        <v>0</v>
      </c>
      <c r="D42" s="686">
        <f>D37+D34+D30+D26+D20+D16+D12+D7</f>
        <v>0</v>
      </c>
      <c r="E42" s="687" t="e">
        <f>AVERAGE(E37,E34,E30,E26,E20,E16,E12,E7)</f>
        <v>#DIV/0!</v>
      </c>
      <c r="F42" s="688" t="e">
        <f>C42/D42</f>
        <v>#DIV/0!</v>
      </c>
      <c r="G42" s="686">
        <f>G37+G34+G30+G26+G20+G16+G12+G7</f>
        <v>0</v>
      </c>
      <c r="H42" s="686"/>
      <c r="I42" s="689"/>
      <c r="J42" s="690"/>
      <c r="K42" s="686">
        <f>K37+K34+K30+K26+K16+K12+K7+K20</f>
        <v>0</v>
      </c>
      <c r="L42" s="686">
        <f>L37+L34+L30+L26+L16+L12+L7+L20</f>
        <v>0</v>
      </c>
      <c r="M42" s="689" t="e">
        <f>L42/B42</f>
        <v>#DIV/0!</v>
      </c>
      <c r="N42" s="689" t="e">
        <f>L42/K42</f>
        <v>#DIV/0!</v>
      </c>
      <c r="O42" s="686"/>
      <c r="P42" s="686"/>
      <c r="Q42" s="689"/>
      <c r="R42" s="689"/>
      <c r="S42" s="689"/>
      <c r="T42" s="691"/>
      <c r="U42" s="686">
        <f>U37+U34+U30+U26+U20+U16+U12+U7</f>
        <v>0</v>
      </c>
      <c r="V42" s="686">
        <f>V37+V34+V30+V26+V20+V16+V12+V7</f>
        <v>0</v>
      </c>
      <c r="W42" s="689" t="e">
        <f>V42/B42</f>
        <v>#DIV/0!</v>
      </c>
      <c r="X42" s="688" t="e">
        <f>V42/U42</f>
        <v>#DIV/0!</v>
      </c>
      <c r="Y42" s="686"/>
      <c r="Z42" s="686"/>
      <c r="AA42" s="689"/>
      <c r="AB42" s="692">
        <f>AB37+AB34+AB30+AB26+AB20+AB16+AB12+AB7</f>
        <v>0</v>
      </c>
      <c r="AC42" s="692">
        <f>AC37+AC34+AC30+AC26+AC20+AC16+AC12+AC7</f>
        <v>0</v>
      </c>
      <c r="AD42" s="688" t="e">
        <f>AC42/AB42</f>
        <v>#DIV/0!</v>
      </c>
      <c r="AE42" s="689" t="e">
        <f>AC42/B42</f>
        <v>#DIV/0!</v>
      </c>
      <c r="AF42" s="689"/>
      <c r="AG42" s="689"/>
      <c r="AH42" s="689"/>
      <c r="AI42" s="689"/>
      <c r="AJ42" s="689"/>
      <c r="AK42" s="691"/>
      <c r="AL42" s="691"/>
      <c r="AM42" s="691"/>
      <c r="AN42" s="396"/>
      <c r="AO42" s="396"/>
    </row>
    <row r="43" spans="1:43" s="503" customFormat="1" hidden="1">
      <c r="A43" s="545" t="s">
        <v>660</v>
      </c>
      <c r="B43" s="564">
        <v>9255</v>
      </c>
      <c r="C43" s="564">
        <v>3770</v>
      </c>
      <c r="D43" s="564">
        <f>D38+D35+D31+D27+D21+D17+D13+D8</f>
        <v>0</v>
      </c>
      <c r="E43" s="578">
        <f>D43/B43*100%</f>
        <v>0</v>
      </c>
      <c r="F43" s="571" t="e">
        <f>D42/C42*100%</f>
        <v>#DIV/0!</v>
      </c>
      <c r="G43" s="406"/>
      <c r="H43" s="406"/>
      <c r="I43" s="571"/>
      <c r="J43" s="572"/>
      <c r="K43" s="406"/>
      <c r="L43" s="406"/>
      <c r="M43" s="571"/>
      <c r="N43" s="571"/>
      <c r="O43" s="406"/>
      <c r="P43" s="406"/>
      <c r="Q43" s="571"/>
      <c r="R43" s="571"/>
      <c r="S43" s="571"/>
      <c r="T43" s="545"/>
      <c r="U43" s="406"/>
      <c r="V43" s="406"/>
      <c r="W43" s="571"/>
      <c r="X43" s="571"/>
      <c r="Y43" s="406"/>
      <c r="Z43" s="406"/>
      <c r="AA43" s="571"/>
      <c r="AB43" s="409"/>
      <c r="AC43" s="409"/>
      <c r="AD43" s="571"/>
      <c r="AE43" s="571"/>
      <c r="AF43" s="571"/>
      <c r="AG43" s="571"/>
      <c r="AH43" s="571"/>
      <c r="AI43" s="571"/>
      <c r="AJ43" s="571"/>
      <c r="AK43" s="545"/>
      <c r="AL43" s="545"/>
      <c r="AM43" s="545"/>
    </row>
    <row r="44" spans="1:43" s="503" customFormat="1">
      <c r="A44" s="545"/>
      <c r="B44" s="406"/>
      <c r="C44" s="406"/>
      <c r="D44" s="406"/>
      <c r="E44" s="570"/>
      <c r="F44" s="571"/>
      <c r="G44" s="406"/>
      <c r="H44" s="406"/>
      <c r="I44" s="571"/>
      <c r="J44" s="572"/>
      <c r="K44" s="406"/>
      <c r="L44" s="406"/>
      <c r="M44" s="571"/>
      <c r="N44" s="571"/>
      <c r="O44" s="406"/>
      <c r="P44" s="406"/>
      <c r="Q44" s="571"/>
      <c r="R44" s="571"/>
      <c r="S44" s="571"/>
      <c r="T44" s="545"/>
      <c r="U44" s="406"/>
      <c r="V44" s="406"/>
      <c r="W44" s="571"/>
      <c r="X44" s="571"/>
      <c r="Y44" s="406"/>
      <c r="Z44" s="406"/>
      <c r="AA44" s="571"/>
      <c r="AB44" s="409"/>
      <c r="AC44" s="409"/>
      <c r="AD44" s="571"/>
      <c r="AE44" s="571"/>
      <c r="AF44" s="571"/>
      <c r="AG44" s="571"/>
      <c r="AH44" s="571"/>
      <c r="AI44" s="571"/>
      <c r="AJ44" s="571"/>
      <c r="AK44" s="545"/>
      <c r="AL44" s="545"/>
      <c r="AM44" s="545"/>
    </row>
    <row r="45" spans="1:43" s="503" customFormat="1">
      <c r="A45" s="545"/>
      <c r="B45" s="406"/>
      <c r="C45" s="406"/>
      <c r="D45" s="406"/>
      <c r="E45" s="570"/>
      <c r="F45" s="571"/>
      <c r="G45" s="406"/>
      <c r="H45" s="406"/>
      <c r="I45" s="571"/>
      <c r="J45" s="572"/>
      <c r="K45" s="406"/>
      <c r="L45" s="406"/>
      <c r="M45" s="571"/>
      <c r="N45" s="652">
        <f>683-656</f>
        <v>27</v>
      </c>
      <c r="O45" s="406"/>
      <c r="P45" s="406"/>
      <c r="Q45" s="571"/>
      <c r="R45" s="571"/>
      <c r="S45" s="571"/>
      <c r="T45" s="545"/>
      <c r="U45" s="406"/>
      <c r="V45" s="406"/>
      <c r="W45" s="571"/>
      <c r="X45" s="571"/>
      <c r="Y45" s="406"/>
      <c r="Z45" s="406"/>
      <c r="AA45" s="571"/>
      <c r="AB45" s="409"/>
      <c r="AC45" s="409"/>
      <c r="AD45" s="571"/>
      <c r="AE45" s="571"/>
      <c r="AF45" s="571"/>
      <c r="AG45" s="571"/>
      <c r="AH45" s="571"/>
      <c r="AI45" s="571"/>
      <c r="AJ45" s="571"/>
      <c r="AK45" s="545"/>
      <c r="AL45" s="545"/>
      <c r="AM45" s="545"/>
    </row>
    <row r="46" spans="1:43" s="503" customFormat="1">
      <c r="A46" s="545"/>
      <c r="B46" s="406"/>
      <c r="C46" s="406"/>
      <c r="D46" s="406"/>
      <c r="E46" s="570"/>
      <c r="F46" s="571"/>
      <c r="G46" s="406"/>
      <c r="H46" s="406"/>
      <c r="I46" s="571"/>
      <c r="J46" s="572"/>
      <c r="K46" s="406"/>
      <c r="L46" s="406"/>
      <c r="M46" s="571"/>
      <c r="N46" s="571"/>
      <c r="O46" s="406"/>
      <c r="P46" s="406"/>
      <c r="Q46" s="571"/>
      <c r="R46" s="571"/>
      <c r="S46" s="571"/>
      <c r="T46" s="545"/>
      <c r="U46" s="406"/>
      <c r="V46" s="406">
        <f>9374-9255</f>
        <v>119</v>
      </c>
      <c r="W46" s="571"/>
      <c r="X46" s="571"/>
      <c r="Y46" s="406"/>
      <c r="Z46" s="406"/>
      <c r="AA46" s="571"/>
      <c r="AB46" s="409"/>
      <c r="AC46" s="409"/>
      <c r="AD46" s="571"/>
      <c r="AE46" s="571"/>
      <c r="AF46" s="571"/>
      <c r="AG46" s="571"/>
      <c r="AH46" s="571"/>
      <c r="AI46" s="571"/>
      <c r="AJ46" s="571"/>
      <c r="AK46" s="545"/>
      <c r="AL46" s="545"/>
      <c r="AM46" s="545"/>
    </row>
    <row r="47" spans="1:43" s="503" customFormat="1">
      <c r="A47" s="545"/>
      <c r="B47" s="406"/>
      <c r="C47" s="406"/>
      <c r="D47" s="406"/>
      <c r="E47" s="570"/>
      <c r="F47" s="571"/>
      <c r="G47" s="406"/>
      <c r="H47" s="406"/>
      <c r="I47" s="571"/>
      <c r="J47" s="572"/>
      <c r="K47" s="406"/>
      <c r="L47" s="406"/>
      <c r="M47" s="571"/>
      <c r="N47" s="571"/>
      <c r="O47" s="406"/>
      <c r="P47" s="406"/>
      <c r="Q47" s="571"/>
      <c r="R47" s="571"/>
      <c r="S47" s="571"/>
      <c r="T47" s="545"/>
      <c r="U47" s="406">
        <f>9229-9255</f>
        <v>-26</v>
      </c>
      <c r="V47" s="406"/>
      <c r="W47" s="571"/>
      <c r="X47" s="571"/>
      <c r="Y47" s="406"/>
      <c r="Z47" s="406"/>
      <c r="AA47" s="571"/>
      <c r="AB47" s="409"/>
      <c r="AC47" s="409"/>
      <c r="AD47" s="571"/>
      <c r="AE47" s="571"/>
      <c r="AF47" s="571"/>
      <c r="AG47" s="571"/>
      <c r="AH47" s="571"/>
      <c r="AI47" s="571"/>
      <c r="AJ47" s="571"/>
      <c r="AK47" s="545"/>
      <c r="AL47" s="545"/>
      <c r="AM47" s="545"/>
    </row>
    <row r="48" spans="1:43" s="503" customFormat="1">
      <c r="A48" s="545"/>
      <c r="B48" s="406"/>
      <c r="C48" s="406"/>
      <c r="D48" s="406"/>
      <c r="E48" s="570"/>
      <c r="F48" s="571"/>
      <c r="G48" s="406"/>
      <c r="H48" s="406"/>
      <c r="I48" s="571"/>
      <c r="J48" s="572"/>
      <c r="K48" s="406"/>
      <c r="L48" s="406"/>
      <c r="M48" s="571"/>
      <c r="N48" s="571"/>
      <c r="O48" s="406"/>
      <c r="P48" s="406"/>
      <c r="Q48" s="571"/>
      <c r="R48" s="571"/>
      <c r="S48" s="571"/>
      <c r="T48" s="545"/>
      <c r="U48" s="406"/>
      <c r="V48" s="406"/>
      <c r="W48" s="571"/>
      <c r="X48" s="571"/>
      <c r="Y48" s="406"/>
      <c r="Z48" s="406"/>
      <c r="AA48" s="571"/>
      <c r="AB48" s="409"/>
      <c r="AC48" s="409"/>
      <c r="AD48" s="571"/>
      <c r="AE48" s="571"/>
      <c r="AF48" s="571"/>
      <c r="AG48" s="571"/>
      <c r="AH48" s="571"/>
      <c r="AI48" s="571"/>
      <c r="AJ48" s="571"/>
      <c r="AK48" s="545"/>
      <c r="AL48" s="545"/>
      <c r="AM48" s="545"/>
    </row>
    <row r="49" spans="1:41" s="503" customFormat="1">
      <c r="A49" s="545"/>
      <c r="B49" s="406"/>
      <c r="C49" s="406"/>
      <c r="D49" s="406"/>
      <c r="E49" s="570"/>
      <c r="F49" s="571"/>
      <c r="G49" s="406"/>
      <c r="H49" s="406"/>
      <c r="I49" s="571"/>
      <c r="J49" s="572"/>
      <c r="K49" s="406"/>
      <c r="L49" s="406"/>
      <c r="M49" s="571"/>
      <c r="N49" s="571"/>
      <c r="O49" s="406"/>
      <c r="P49" s="406"/>
      <c r="Q49" s="571"/>
      <c r="R49" s="571"/>
      <c r="S49" s="571"/>
      <c r="T49" s="545"/>
      <c r="U49" s="406"/>
      <c r="V49" s="406"/>
      <c r="W49" s="571"/>
      <c r="X49" s="571"/>
      <c r="Y49" s="406"/>
      <c r="Z49" s="406"/>
      <c r="AA49" s="571"/>
      <c r="AB49" s="409"/>
      <c r="AC49" s="409"/>
      <c r="AD49" s="571"/>
      <c r="AE49" s="571"/>
      <c r="AF49" s="571"/>
      <c r="AG49" s="571"/>
      <c r="AH49" s="571"/>
      <c r="AI49" s="571"/>
      <c r="AJ49" s="571"/>
      <c r="AK49" s="545"/>
      <c r="AL49" s="545"/>
      <c r="AM49" s="545"/>
    </row>
    <row r="50" spans="1:41" s="396" customFormat="1">
      <c r="A50" s="545"/>
      <c r="B50" s="504"/>
      <c r="C50" s="504"/>
      <c r="D50" s="504"/>
      <c r="E50" s="397"/>
      <c r="F50" s="515"/>
      <c r="G50" s="515"/>
      <c r="H50" s="515"/>
      <c r="I50" s="515"/>
      <c r="J50" s="397"/>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row>
    <row r="51" spans="1:41" ht="23.25">
      <c r="A51" s="534"/>
      <c r="B51" s="530"/>
      <c r="C51" s="530"/>
      <c r="D51" s="530"/>
      <c r="E51" s="531"/>
      <c r="F51" s="532"/>
      <c r="G51" s="532"/>
      <c r="H51" s="532"/>
      <c r="I51" s="532"/>
      <c r="J51" s="573">
        <v>90692582257</v>
      </c>
      <c r="AO51">
        <v>1158</v>
      </c>
    </row>
    <row r="52" spans="1:41" ht="15.75" thickBot="1">
      <c r="A52" s="534"/>
      <c r="B52" s="530"/>
      <c r="C52" s="530"/>
      <c r="D52" s="530"/>
      <c r="E52" s="531"/>
      <c r="F52" s="532"/>
      <c r="G52" s="529"/>
      <c r="H52" s="529">
        <f>G42-G52</f>
        <v>0</v>
      </c>
      <c r="I52" s="532"/>
      <c r="J52" s="531"/>
      <c r="X52">
        <f>9276-9255</f>
        <v>21</v>
      </c>
      <c r="AN52">
        <f>9377-9255</f>
        <v>122</v>
      </c>
    </row>
    <row r="53" spans="1:41">
      <c r="A53" s="534"/>
      <c r="B53" s="530"/>
      <c r="C53" s="530"/>
      <c r="D53" s="530"/>
      <c r="E53" s="531"/>
      <c r="F53" s="532"/>
      <c r="G53" s="532"/>
      <c r="H53" s="532"/>
      <c r="I53" s="532"/>
      <c r="J53" s="531"/>
      <c r="K53" s="533"/>
      <c r="L53" s="533"/>
      <c r="M53" s="533"/>
      <c r="N53" s="533"/>
      <c r="O53" s="533"/>
    </row>
    <row r="54" spans="1:41">
      <c r="A54" s="535"/>
      <c r="B54" s="533"/>
      <c r="C54" s="533"/>
      <c r="D54" s="533"/>
      <c r="E54" s="533"/>
      <c r="F54" s="533"/>
      <c r="G54" s="533"/>
      <c r="H54" s="533"/>
      <c r="I54" s="533"/>
      <c r="J54" s="533"/>
      <c r="K54" s="533"/>
      <c r="L54" s="533"/>
      <c r="M54" s="533"/>
      <c r="N54" s="533"/>
      <c r="O54" s="533"/>
    </row>
    <row r="55" spans="1:41">
      <c r="A55" s="946" t="s">
        <v>661</v>
      </c>
      <c r="B55" s="946"/>
      <c r="C55" s="946"/>
      <c r="D55" s="946"/>
      <c r="E55" s="946"/>
      <c r="F55" s="946"/>
      <c r="G55" s="946"/>
      <c r="H55" s="946"/>
      <c r="I55" s="946"/>
      <c r="J55" s="946"/>
      <c r="K55" s="946"/>
      <c r="L55" s="946"/>
      <c r="M55" s="946"/>
      <c r="N55" s="946"/>
      <c r="O55" s="946"/>
    </row>
    <row r="56" spans="1:41" ht="60">
      <c r="A56" s="947" t="s">
        <v>632</v>
      </c>
      <c r="B56" s="948" t="s">
        <v>662</v>
      </c>
      <c r="C56" s="948" t="s">
        <v>663</v>
      </c>
      <c r="D56" s="948" t="s">
        <v>640</v>
      </c>
      <c r="E56" s="948" t="s">
        <v>664</v>
      </c>
      <c r="F56" s="948" t="s">
        <v>640</v>
      </c>
      <c r="G56" s="536"/>
      <c r="H56" s="536"/>
      <c r="I56" s="536"/>
      <c r="J56" s="948" t="s">
        <v>665</v>
      </c>
      <c r="K56" s="948" t="s">
        <v>640</v>
      </c>
      <c r="L56" s="948" t="s">
        <v>666</v>
      </c>
      <c r="M56" s="948" t="s">
        <v>640</v>
      </c>
      <c r="N56" s="948" t="s">
        <v>667</v>
      </c>
      <c r="O56" s="948" t="s">
        <v>668</v>
      </c>
      <c r="V56" s="408" t="s">
        <v>602</v>
      </c>
      <c r="W56" s="408" t="s">
        <v>669</v>
      </c>
      <c r="X56" s="408" t="s">
        <v>670</v>
      </c>
      <c r="Y56" s="408" t="s">
        <v>611</v>
      </c>
      <c r="Z56" s="408" t="s">
        <v>671</v>
      </c>
      <c r="AA56" s="408" t="s">
        <v>672</v>
      </c>
      <c r="AB56" s="408" t="s">
        <v>673</v>
      </c>
    </row>
    <row r="57" spans="1:41">
      <c r="A57" s="947"/>
      <c r="B57" s="948" t="s">
        <v>674</v>
      </c>
      <c r="C57" s="948"/>
      <c r="D57" s="948"/>
      <c r="E57" s="948"/>
      <c r="F57" s="948"/>
      <c r="G57" s="536"/>
      <c r="H57" s="536"/>
      <c r="I57" s="536"/>
      <c r="J57" s="948"/>
      <c r="K57" s="948"/>
      <c r="L57" s="948"/>
      <c r="M57" s="948"/>
      <c r="N57" s="948"/>
      <c r="O57" s="948"/>
      <c r="V57" s="409">
        <v>12431</v>
      </c>
      <c r="W57" s="409">
        <f>U42</f>
        <v>0</v>
      </c>
      <c r="X57" s="410">
        <f>V42</f>
        <v>0</v>
      </c>
      <c r="Y57" s="411" t="e">
        <f>X57/W57*100</f>
        <v>#DIV/0!</v>
      </c>
      <c r="Z57" s="411">
        <f>C42+K42+U42</f>
        <v>0</v>
      </c>
      <c r="AA57" s="412">
        <f>V42+L42+D42</f>
        <v>0</v>
      </c>
      <c r="AB57" s="413" t="e">
        <f>AA57/B42*100</f>
        <v>#DIV/0!</v>
      </c>
    </row>
    <row r="58" spans="1:41">
      <c r="A58" s="503" t="s">
        <v>651</v>
      </c>
      <c r="B58" s="504">
        <v>768943571</v>
      </c>
      <c r="C58" s="397">
        <v>0</v>
      </c>
      <c r="D58" s="401">
        <f>C58*B58/100</f>
        <v>0</v>
      </c>
      <c r="E58" s="397">
        <v>0</v>
      </c>
      <c r="F58" s="401">
        <f>E58*D58/100</f>
        <v>0</v>
      </c>
      <c r="G58" s="401"/>
      <c r="H58" s="401"/>
      <c r="I58" s="401"/>
      <c r="J58" s="503"/>
      <c r="K58" s="401">
        <f>J58*F58/100</f>
        <v>0</v>
      </c>
      <c r="L58" s="503"/>
      <c r="M58" s="401">
        <f>L58*K58/100</f>
        <v>0</v>
      </c>
      <c r="N58" s="397">
        <f>C58+E58+J58+L58</f>
        <v>0</v>
      </c>
      <c r="O58" s="537">
        <f>N58*100</f>
        <v>0</v>
      </c>
    </row>
    <row r="59" spans="1:41">
      <c r="A59" s="503" t="s">
        <v>581</v>
      </c>
      <c r="B59" s="504"/>
      <c r="C59" s="397"/>
      <c r="D59" s="401">
        <f t="shared" ref="D59:D61" si="3">C59*B59/100</f>
        <v>0</v>
      </c>
      <c r="E59" s="397"/>
      <c r="F59" s="401">
        <f t="shared" ref="F59:F61" si="4">E59*D59/100</f>
        <v>0</v>
      </c>
      <c r="G59" s="401"/>
      <c r="H59" s="401"/>
      <c r="I59" s="401"/>
      <c r="J59" s="503"/>
      <c r="K59" s="401">
        <f>J59*F59/100</f>
        <v>0</v>
      </c>
      <c r="L59" s="503"/>
      <c r="M59" s="401">
        <f t="shared" ref="M59:M61" si="5">L59*K59/100</f>
        <v>0</v>
      </c>
      <c r="N59" s="397">
        <f>C59+E59+J59+L59</f>
        <v>0</v>
      </c>
      <c r="O59" s="537">
        <f t="shared" ref="O59:O61" si="6">N59*100</f>
        <v>0</v>
      </c>
      <c r="V59" s="949" t="s">
        <v>675</v>
      </c>
      <c r="W59" s="949"/>
      <c r="X59" s="949" t="s">
        <v>676</v>
      </c>
      <c r="Y59" s="949"/>
    </row>
    <row r="60" spans="1:41" ht="45">
      <c r="A60" s="503" t="s">
        <v>582</v>
      </c>
      <c r="B60" s="504"/>
      <c r="C60" s="397"/>
      <c r="D60" s="401">
        <f t="shared" si="3"/>
        <v>0</v>
      </c>
      <c r="E60" s="397"/>
      <c r="F60" s="401">
        <f t="shared" si="4"/>
        <v>0</v>
      </c>
      <c r="G60" s="401"/>
      <c r="H60" s="401"/>
      <c r="I60" s="401"/>
      <c r="J60" s="503"/>
      <c r="K60" s="401">
        <f>J60*F60/100</f>
        <v>0</v>
      </c>
      <c r="L60" s="503"/>
      <c r="M60" s="401">
        <f t="shared" si="5"/>
        <v>0</v>
      </c>
      <c r="N60" s="397">
        <f>C60+E60+J60+L60</f>
        <v>0</v>
      </c>
      <c r="O60" s="537">
        <f>N60*100</f>
        <v>0</v>
      </c>
      <c r="V60" s="408" t="s">
        <v>677</v>
      </c>
      <c r="W60" s="408" t="s">
        <v>678</v>
      </c>
      <c r="X60" s="408" t="s">
        <v>677</v>
      </c>
      <c r="Y60" s="408" t="s">
        <v>678</v>
      </c>
    </row>
    <row r="61" spans="1:41">
      <c r="A61" s="503" t="s">
        <v>583</v>
      </c>
      <c r="B61" s="504"/>
      <c r="C61" s="397"/>
      <c r="D61" s="401">
        <f t="shared" si="3"/>
        <v>0</v>
      </c>
      <c r="E61" s="397"/>
      <c r="F61" s="401">
        <f t="shared" si="4"/>
        <v>0</v>
      </c>
      <c r="G61" s="401"/>
      <c r="H61" s="401"/>
      <c r="I61" s="401"/>
      <c r="J61" s="503"/>
      <c r="K61" s="401">
        <f>J61*F61/100</f>
        <v>0</v>
      </c>
      <c r="L61" s="503"/>
      <c r="M61" s="401">
        <f t="shared" si="5"/>
        <v>0</v>
      </c>
      <c r="N61" s="397">
        <f>C61+E61+J61+L61</f>
        <v>0</v>
      </c>
      <c r="O61" s="537">
        <f t="shared" si="6"/>
        <v>0</v>
      </c>
      <c r="V61" s="396" t="s">
        <v>679</v>
      </c>
      <c r="W61" s="414">
        <v>126</v>
      </c>
      <c r="X61" s="396" t="s">
        <v>679</v>
      </c>
      <c r="Y61" s="414">
        <v>22</v>
      </c>
    </row>
    <row r="62" spans="1:41">
      <c r="A62" s="503"/>
      <c r="B62" s="503"/>
      <c r="C62" s="503"/>
      <c r="D62" s="503"/>
      <c r="E62" s="503"/>
      <c r="F62" s="503"/>
      <c r="G62" s="503"/>
      <c r="H62" s="503"/>
      <c r="I62" s="503"/>
      <c r="J62" s="503"/>
      <c r="K62" s="503"/>
      <c r="L62" s="503"/>
      <c r="M62" s="503"/>
      <c r="N62" s="397"/>
      <c r="O62" s="503"/>
      <c r="V62" s="396" t="s">
        <v>680</v>
      </c>
      <c r="W62" s="414">
        <v>136</v>
      </c>
      <c r="X62" s="396" t="s">
        <v>680</v>
      </c>
      <c r="Y62" s="414">
        <v>39</v>
      </c>
    </row>
    <row r="63" spans="1:41">
      <c r="A63" s="503" t="s">
        <v>652</v>
      </c>
      <c r="B63" s="504">
        <v>24542186369.194084</v>
      </c>
      <c r="C63" s="397">
        <v>0</v>
      </c>
      <c r="D63" s="401">
        <f>C63*B63/100</f>
        <v>0</v>
      </c>
      <c r="E63" s="397">
        <v>0</v>
      </c>
      <c r="F63" s="401">
        <f>E63*D63/100</f>
        <v>0</v>
      </c>
      <c r="G63" s="401"/>
      <c r="H63" s="401"/>
      <c r="I63" s="401"/>
      <c r="J63" s="503"/>
      <c r="K63" s="401">
        <f>J63*F63/100</f>
        <v>0</v>
      </c>
      <c r="L63" s="503"/>
      <c r="M63" s="401">
        <f>L63*K63/100</f>
        <v>0</v>
      </c>
      <c r="N63" s="397">
        <f>C63+E63+J63+L63</f>
        <v>0</v>
      </c>
      <c r="O63" s="537">
        <f t="shared" ref="O63:O64" si="7">N63*100</f>
        <v>0</v>
      </c>
      <c r="V63" s="396" t="s">
        <v>681</v>
      </c>
      <c r="W63" s="414">
        <v>91</v>
      </c>
      <c r="X63" s="396" t="s">
        <v>681</v>
      </c>
      <c r="Y63" s="414">
        <v>88</v>
      </c>
    </row>
    <row r="64" spans="1:41">
      <c r="A64" s="503" t="s">
        <v>581</v>
      </c>
      <c r="B64" s="504"/>
      <c r="C64" s="397"/>
      <c r="D64" s="401">
        <f t="shared" ref="D64" si="8">C64*B64/100</f>
        <v>0</v>
      </c>
      <c r="E64" s="397"/>
      <c r="F64" s="401">
        <f>E64*D64/100</f>
        <v>0</v>
      </c>
      <c r="G64" s="401"/>
      <c r="H64" s="401"/>
      <c r="I64" s="401"/>
      <c r="J64" s="503"/>
      <c r="K64" s="401">
        <f>J64*F64/100</f>
        <v>0</v>
      </c>
      <c r="L64" s="503"/>
      <c r="M64" s="401">
        <f t="shared" ref="M64" si="9">L64*K64/100</f>
        <v>0</v>
      </c>
      <c r="N64" s="397">
        <f>C64+E64+J64+L64</f>
        <v>0</v>
      </c>
      <c r="O64" s="537">
        <f t="shared" si="7"/>
        <v>0</v>
      </c>
      <c r="V64" s="416" t="s">
        <v>682</v>
      </c>
      <c r="W64" s="417">
        <f>AVERAGE(W61:W63)</f>
        <v>117.66666666666667</v>
      </c>
      <c r="X64" s="416" t="s">
        <v>682</v>
      </c>
      <c r="Y64" s="417">
        <f>AVERAGE(Y61:Y63)</f>
        <v>49.666666666666664</v>
      </c>
    </row>
    <row r="65" spans="1:33">
      <c r="A65" s="503"/>
      <c r="B65" s="504"/>
      <c r="C65" s="397"/>
      <c r="D65" s="401"/>
      <c r="E65" s="397"/>
      <c r="F65" s="401"/>
      <c r="G65" s="401"/>
      <c r="H65" s="401"/>
      <c r="I65" s="401"/>
      <c r="J65" s="503"/>
      <c r="K65" s="401"/>
      <c r="L65" s="503"/>
      <c r="M65" s="401"/>
      <c r="N65" s="397"/>
      <c r="O65" s="537"/>
      <c r="V65" s="418"/>
      <c r="W65" s="419"/>
      <c r="X65" s="420"/>
      <c r="Y65" s="421"/>
    </row>
    <row r="66" spans="1:33" ht="15" customHeight="1">
      <c r="A66" s="503" t="s">
        <v>581</v>
      </c>
      <c r="B66" s="504"/>
      <c r="C66" s="397"/>
      <c r="D66" s="401">
        <f t="shared" ref="D66:D67" si="10">C66*B66/100</f>
        <v>0</v>
      </c>
      <c r="E66" s="397"/>
      <c r="F66" s="401">
        <f>E66*D66/100</f>
        <v>0</v>
      </c>
      <c r="G66" s="401"/>
      <c r="H66" s="401"/>
      <c r="I66" s="401"/>
      <c r="J66" s="503"/>
      <c r="K66" s="401">
        <f>J66*F66/100</f>
        <v>0</v>
      </c>
      <c r="L66" s="503"/>
      <c r="M66" s="401">
        <f>L66*K66/100</f>
        <v>0</v>
      </c>
      <c r="N66" s="397">
        <f>C66+E66+J66+L66</f>
        <v>0</v>
      </c>
      <c r="O66" s="537">
        <f t="shared" ref="O66:O67" si="11">N66*100</f>
        <v>0</v>
      </c>
      <c r="V66" s="950" t="s">
        <v>683</v>
      </c>
      <c r="W66" s="951"/>
      <c r="X66" s="951"/>
      <c r="Y66" s="952"/>
      <c r="Z66" s="337"/>
    </row>
    <row r="67" spans="1:33">
      <c r="A67" s="503" t="s">
        <v>582</v>
      </c>
      <c r="B67" s="504"/>
      <c r="C67" s="397"/>
      <c r="D67" s="401">
        <f t="shared" si="10"/>
        <v>0</v>
      </c>
      <c r="E67" s="397"/>
      <c r="F67" s="401">
        <f>E67*D67/100</f>
        <v>0</v>
      </c>
      <c r="G67" s="401"/>
      <c r="H67" s="401"/>
      <c r="I67" s="401"/>
      <c r="J67" s="503"/>
      <c r="K67" s="401">
        <f>J67*F67/100</f>
        <v>0</v>
      </c>
      <c r="L67" s="503"/>
      <c r="M67" s="401">
        <f>L67*K67/100</f>
        <v>0</v>
      </c>
      <c r="N67" s="397">
        <f>C67+E67+J67+L67</f>
        <v>0</v>
      </c>
      <c r="O67" s="537">
        <f t="shared" si="11"/>
        <v>0</v>
      </c>
      <c r="V67" s="422" t="s">
        <v>567</v>
      </c>
      <c r="W67" s="272" t="s">
        <v>568</v>
      </c>
      <c r="X67" s="272" t="s">
        <v>684</v>
      </c>
      <c r="Y67" s="422" t="s">
        <v>567</v>
      </c>
      <c r="Z67" s="1"/>
    </row>
    <row r="68" spans="1:33">
      <c r="A68" s="503"/>
      <c r="B68" s="503"/>
      <c r="C68" s="503"/>
      <c r="D68" s="503"/>
      <c r="E68" s="503"/>
      <c r="F68" s="503"/>
      <c r="G68" s="503"/>
      <c r="H68" s="503"/>
      <c r="I68" s="503"/>
      <c r="J68" s="503"/>
      <c r="K68" s="503"/>
      <c r="L68" s="503"/>
      <c r="M68" s="503"/>
      <c r="N68" s="397"/>
      <c r="O68" s="503"/>
      <c r="V68" s="72">
        <v>3359</v>
      </c>
      <c r="W68" s="214">
        <v>3685</v>
      </c>
      <c r="X68" s="214">
        <v>78</v>
      </c>
      <c r="Y68" s="72">
        <v>71</v>
      </c>
      <c r="Z68" s="1"/>
    </row>
    <row r="69" spans="1:33">
      <c r="A69" s="503" t="s">
        <v>654</v>
      </c>
      <c r="B69" s="504">
        <v>5129777420.6155205</v>
      </c>
      <c r="C69" s="397">
        <v>0</v>
      </c>
      <c r="D69" s="401">
        <f>C69*B69/100</f>
        <v>0</v>
      </c>
      <c r="E69" s="397">
        <v>0</v>
      </c>
      <c r="F69" s="401">
        <f>E69*D69/100</f>
        <v>0</v>
      </c>
      <c r="G69" s="401"/>
      <c r="H69" s="401"/>
      <c r="I69" s="401"/>
      <c r="J69" s="503"/>
      <c r="K69" s="401">
        <f>J69*F69/100</f>
        <v>0</v>
      </c>
      <c r="L69" s="503"/>
      <c r="M69" s="401">
        <f>L69*K69/100</f>
        <v>0</v>
      </c>
      <c r="N69" s="397">
        <f>C69+E69+J69+L69</f>
        <v>0</v>
      </c>
      <c r="O69" s="537">
        <f t="shared" ref="O69:O73" si="12">N69*100</f>
        <v>0</v>
      </c>
      <c r="V69" s="396"/>
      <c r="W69" s="396"/>
      <c r="X69" s="396"/>
      <c r="Y69" s="396"/>
    </row>
    <row r="70" spans="1:33">
      <c r="A70" s="503" t="s">
        <v>581</v>
      </c>
      <c r="B70" s="504"/>
      <c r="C70" s="397"/>
      <c r="D70" s="401">
        <f t="shared" ref="D70:D73" si="13">C70*B70/100</f>
        <v>0</v>
      </c>
      <c r="E70" s="397"/>
      <c r="F70" s="401">
        <f>E70*D70/100</f>
        <v>0</v>
      </c>
      <c r="G70" s="401"/>
      <c r="H70" s="401"/>
      <c r="I70" s="401"/>
      <c r="J70" s="503"/>
      <c r="K70" s="401">
        <f>J70*F70/100</f>
        <v>0</v>
      </c>
      <c r="L70" s="503"/>
      <c r="M70" s="401">
        <f t="shared" ref="M70:M73" si="14">L70*K70/100</f>
        <v>0</v>
      </c>
      <c r="N70" s="397">
        <f>C70+E70+J70+L70</f>
        <v>0</v>
      </c>
      <c r="O70" s="537">
        <f t="shared" si="12"/>
        <v>0</v>
      </c>
      <c r="V70" s="423">
        <f>V68+Y68</f>
        <v>3430</v>
      </c>
      <c r="W70" s="953">
        <f>W68+X68</f>
        <v>3763</v>
      </c>
      <c r="X70" s="954"/>
      <c r="Y70" s="396"/>
    </row>
    <row r="71" spans="1:33">
      <c r="A71" s="503" t="s">
        <v>582</v>
      </c>
      <c r="B71" s="504"/>
      <c r="C71" s="397"/>
      <c r="D71" s="401">
        <f t="shared" si="13"/>
        <v>0</v>
      </c>
      <c r="E71" s="397"/>
      <c r="F71" s="401">
        <f>E71*D71/100</f>
        <v>0</v>
      </c>
      <c r="G71" s="401"/>
      <c r="H71" s="401"/>
      <c r="I71" s="401"/>
      <c r="J71" s="503"/>
      <c r="K71" s="401">
        <f>J71*F71/100</f>
        <v>0</v>
      </c>
      <c r="L71" s="503"/>
      <c r="M71" s="401">
        <f t="shared" si="14"/>
        <v>0</v>
      </c>
      <c r="N71" s="397">
        <f>C71+E71+J71+L71</f>
        <v>0</v>
      </c>
      <c r="O71" s="537">
        <f t="shared" si="12"/>
        <v>0</v>
      </c>
    </row>
    <row r="72" spans="1:33" ht="75">
      <c r="A72" s="503" t="s">
        <v>583</v>
      </c>
      <c r="B72" s="504"/>
      <c r="C72" s="397"/>
      <c r="D72" s="401">
        <f t="shared" si="13"/>
        <v>0</v>
      </c>
      <c r="E72" s="397"/>
      <c r="F72" s="401">
        <f>E72*D72/100</f>
        <v>0</v>
      </c>
      <c r="G72" s="401"/>
      <c r="H72" s="401"/>
      <c r="I72" s="401"/>
      <c r="J72" s="503"/>
      <c r="K72" s="401">
        <f>J72*F72/100</f>
        <v>0</v>
      </c>
      <c r="L72" s="503"/>
      <c r="M72" s="401">
        <f t="shared" si="14"/>
        <v>0</v>
      </c>
      <c r="N72" s="397">
        <f>C72+E72+J72+L72</f>
        <v>0</v>
      </c>
      <c r="O72" s="537">
        <f t="shared" si="12"/>
        <v>0</v>
      </c>
      <c r="V72" s="408" t="s">
        <v>602</v>
      </c>
      <c r="W72" s="408" t="s">
        <v>669</v>
      </c>
      <c r="X72" s="408" t="s">
        <v>670</v>
      </c>
      <c r="Y72" s="408" t="s">
        <v>611</v>
      </c>
      <c r="Z72" s="408" t="s">
        <v>671</v>
      </c>
      <c r="AA72" s="408" t="s">
        <v>672</v>
      </c>
      <c r="AB72" s="408" t="s">
        <v>685</v>
      </c>
      <c r="AC72" s="408" t="s">
        <v>686</v>
      </c>
      <c r="AD72" s="408" t="s">
        <v>614</v>
      </c>
      <c r="AE72" s="408" t="s">
        <v>687</v>
      </c>
      <c r="AF72" s="408" t="s">
        <v>688</v>
      </c>
      <c r="AG72" s="408" t="s">
        <v>673</v>
      </c>
    </row>
    <row r="73" spans="1:33">
      <c r="A73" s="503" t="s">
        <v>588</v>
      </c>
      <c r="B73" s="504"/>
      <c r="C73" s="397"/>
      <c r="D73" s="401">
        <f t="shared" si="13"/>
        <v>0</v>
      </c>
      <c r="E73" s="397"/>
      <c r="F73" s="401">
        <f>E73*D73/100</f>
        <v>0</v>
      </c>
      <c r="G73" s="401"/>
      <c r="H73" s="401"/>
      <c r="I73" s="401"/>
      <c r="J73" s="503"/>
      <c r="K73" s="401">
        <f>J73*F73/100</f>
        <v>0</v>
      </c>
      <c r="L73" s="503"/>
      <c r="M73" s="401">
        <f t="shared" si="14"/>
        <v>0</v>
      </c>
      <c r="N73" s="397">
        <f>C73+E73+J73+L73</f>
        <v>0</v>
      </c>
      <c r="O73" s="537">
        <f t="shared" si="12"/>
        <v>0</v>
      </c>
      <c r="V73" s="409">
        <v>12431</v>
      </c>
      <c r="W73" s="409">
        <v>3763</v>
      </c>
      <c r="X73" s="410">
        <v>3430</v>
      </c>
      <c r="Y73" s="411">
        <f>X73/W73*100</f>
        <v>91.150677650810522</v>
      </c>
      <c r="Z73" s="411">
        <f>9475-7</f>
        <v>9468</v>
      </c>
      <c r="AA73" s="412">
        <f>10980-7</f>
        <v>10973</v>
      </c>
      <c r="AB73" s="412">
        <v>2955</v>
      </c>
      <c r="AC73" s="412">
        <v>2506</v>
      </c>
      <c r="AD73" s="412">
        <f>AC73/AB73*100</f>
        <v>84.805414551607456</v>
      </c>
      <c r="AE73" s="412">
        <f>Z73+AB42</f>
        <v>9468</v>
      </c>
      <c r="AF73" s="412">
        <f>AA73+AC42</f>
        <v>10973</v>
      </c>
      <c r="AG73" s="413" t="e">
        <f>AF73/#REF!*100</f>
        <v>#REF!</v>
      </c>
    </row>
    <row r="74" spans="1:33">
      <c r="A74" s="503"/>
      <c r="B74" s="503"/>
      <c r="C74" s="503"/>
      <c r="D74" s="503"/>
      <c r="E74" s="503"/>
      <c r="F74" s="503"/>
      <c r="G74" s="503"/>
      <c r="H74" s="503"/>
      <c r="I74" s="503"/>
      <c r="J74" s="503"/>
      <c r="K74" s="503"/>
      <c r="L74" s="503"/>
      <c r="M74" s="503"/>
      <c r="N74" s="397"/>
      <c r="O74" s="503"/>
    </row>
    <row r="75" spans="1:33">
      <c r="A75" s="503" t="s">
        <v>655</v>
      </c>
      <c r="B75" s="504">
        <v>322665784.31520021</v>
      </c>
      <c r="C75" s="397">
        <v>0</v>
      </c>
      <c r="D75" s="401">
        <f>C75*B75/100</f>
        <v>0</v>
      </c>
      <c r="E75" s="397">
        <v>0</v>
      </c>
      <c r="F75" s="401">
        <f>E75*D75/100</f>
        <v>0</v>
      </c>
      <c r="G75" s="401"/>
      <c r="H75" s="401"/>
      <c r="I75" s="401"/>
      <c r="J75" s="503"/>
      <c r="K75" s="401">
        <f>J75*F75/100</f>
        <v>0</v>
      </c>
      <c r="L75" s="503"/>
      <c r="M75" s="401">
        <f>L75*K75/100</f>
        <v>0</v>
      </c>
      <c r="N75" s="397">
        <f>C75+E75+J75+L75</f>
        <v>0</v>
      </c>
      <c r="O75" s="537">
        <f t="shared" ref="O75:O77" si="15">N75*100</f>
        <v>0</v>
      </c>
    </row>
    <row r="76" spans="1:33">
      <c r="A76" s="503" t="s">
        <v>581</v>
      </c>
      <c r="B76" s="504"/>
      <c r="C76" s="397"/>
      <c r="D76" s="401">
        <f t="shared" ref="D76:D77" si="16">C76*B76/100</f>
        <v>0</v>
      </c>
      <c r="E76" s="397"/>
      <c r="F76" s="401">
        <f>E76*D76/100</f>
        <v>0</v>
      </c>
      <c r="G76" s="401"/>
      <c r="H76" s="401"/>
      <c r="I76" s="401"/>
      <c r="J76" s="503"/>
      <c r="K76" s="401">
        <f>J76*F76/100</f>
        <v>0</v>
      </c>
      <c r="L76" s="503"/>
      <c r="M76" s="401">
        <f t="shared" ref="M76:M77" si="17">L76*K76/100</f>
        <v>0</v>
      </c>
      <c r="N76" s="397">
        <f>C76+E76+J76+L76</f>
        <v>0</v>
      </c>
      <c r="O76" s="537">
        <f t="shared" si="15"/>
        <v>0</v>
      </c>
    </row>
    <row r="77" spans="1:33">
      <c r="A77" s="503" t="s">
        <v>582</v>
      </c>
      <c r="B77" s="504"/>
      <c r="C77" s="397"/>
      <c r="D77" s="401">
        <f t="shared" si="16"/>
        <v>0</v>
      </c>
      <c r="E77" s="397"/>
      <c r="F77" s="401">
        <f>E77*D77/100</f>
        <v>0</v>
      </c>
      <c r="G77" s="401"/>
      <c r="H77" s="401"/>
      <c r="I77" s="401"/>
      <c r="J77" s="503"/>
      <c r="K77" s="401">
        <f>J77*F77/100</f>
        <v>0</v>
      </c>
      <c r="L77" s="503"/>
      <c r="M77" s="401">
        <f t="shared" si="17"/>
        <v>0</v>
      </c>
      <c r="N77" s="397">
        <f>C77+E77+J77+L77</f>
        <v>0</v>
      </c>
      <c r="O77" s="537">
        <f t="shared" si="15"/>
        <v>0</v>
      </c>
    </row>
    <row r="78" spans="1:33">
      <c r="A78" s="503"/>
      <c r="B78" s="503"/>
      <c r="C78" s="503"/>
      <c r="D78" s="503"/>
      <c r="E78" s="503"/>
      <c r="F78" s="503"/>
      <c r="G78" s="503"/>
      <c r="H78" s="503"/>
      <c r="I78" s="503"/>
      <c r="J78" s="503"/>
      <c r="K78" s="503"/>
      <c r="L78" s="503"/>
      <c r="M78" s="503"/>
      <c r="N78" s="397"/>
      <c r="O78" s="503"/>
    </row>
    <row r="79" spans="1:33">
      <c r="A79" s="503" t="s">
        <v>656</v>
      </c>
      <c r="B79" s="504">
        <v>119838668.808</v>
      </c>
      <c r="C79" s="397">
        <v>0</v>
      </c>
      <c r="D79" s="401">
        <f>C79*B79/100</f>
        <v>0</v>
      </c>
      <c r="E79" s="397">
        <v>0</v>
      </c>
      <c r="F79" s="401">
        <f>E79*D79/100</f>
        <v>0</v>
      </c>
      <c r="G79" s="401"/>
      <c r="H79" s="401"/>
      <c r="I79" s="401"/>
      <c r="J79" s="503"/>
      <c r="K79" s="401">
        <f>J79*F79/100</f>
        <v>0</v>
      </c>
      <c r="L79" s="503"/>
      <c r="M79" s="401">
        <f>L79*K79/100</f>
        <v>0</v>
      </c>
      <c r="N79" s="397">
        <f>C79+E79+J79+L79</f>
        <v>0</v>
      </c>
      <c r="O79" s="537">
        <f t="shared" ref="O79:O81" si="18">N79*100</f>
        <v>0</v>
      </c>
    </row>
    <row r="80" spans="1:33">
      <c r="A80" s="503" t="s">
        <v>581</v>
      </c>
      <c r="B80" s="504"/>
      <c r="C80" s="397"/>
      <c r="D80" s="401">
        <f t="shared" ref="D80:D89" si="19">C80*B80/100</f>
        <v>0</v>
      </c>
      <c r="E80" s="397"/>
      <c r="F80" s="401">
        <f>E80*D80/100</f>
        <v>0</v>
      </c>
      <c r="G80" s="401"/>
      <c r="H80" s="401"/>
      <c r="I80" s="401"/>
      <c r="J80" s="503"/>
      <c r="K80" s="401">
        <f>J80*F80/100</f>
        <v>0</v>
      </c>
      <c r="L80" s="503"/>
      <c r="M80" s="401">
        <f t="shared" ref="M80:M81" si="20">L80*K80/100</f>
        <v>0</v>
      </c>
      <c r="N80" s="397">
        <f>C80+E80+J80+L80</f>
        <v>0</v>
      </c>
      <c r="O80" s="537">
        <f t="shared" si="18"/>
        <v>0</v>
      </c>
    </row>
    <row r="81" spans="1:15">
      <c r="A81" s="503" t="s">
        <v>582</v>
      </c>
      <c r="B81" s="504"/>
      <c r="C81" s="397"/>
      <c r="D81" s="401">
        <f t="shared" si="19"/>
        <v>0</v>
      </c>
      <c r="E81" s="397"/>
      <c r="F81" s="401">
        <f>E81*D81/100</f>
        <v>0</v>
      </c>
      <c r="G81" s="401"/>
      <c r="H81" s="401"/>
      <c r="I81" s="401"/>
      <c r="J81" s="503"/>
      <c r="K81" s="401">
        <f>J81*F81/100</f>
        <v>0</v>
      </c>
      <c r="L81" s="503"/>
      <c r="M81" s="401">
        <f t="shared" si="20"/>
        <v>0</v>
      </c>
      <c r="N81" s="397">
        <f>C81+E81+J81+L81</f>
        <v>0</v>
      </c>
      <c r="O81" s="537">
        <f t="shared" si="18"/>
        <v>0</v>
      </c>
    </row>
    <row r="82" spans="1:15">
      <c r="A82" s="503"/>
      <c r="B82" s="503"/>
      <c r="C82" s="503"/>
      <c r="D82" s="503"/>
      <c r="E82" s="503"/>
      <c r="F82" s="503"/>
      <c r="G82" s="503"/>
      <c r="H82" s="503"/>
      <c r="I82" s="503"/>
      <c r="J82" s="503"/>
      <c r="K82" s="503"/>
      <c r="L82" s="503"/>
      <c r="M82" s="503"/>
      <c r="N82" s="397"/>
      <c r="O82" s="503"/>
    </row>
    <row r="83" spans="1:15">
      <c r="A83" s="503" t="s">
        <v>657</v>
      </c>
      <c r="B83" s="504">
        <v>636777246</v>
      </c>
      <c r="C83" s="397">
        <v>0</v>
      </c>
      <c r="D83" s="401">
        <f t="shared" si="19"/>
        <v>0</v>
      </c>
      <c r="E83" s="397">
        <v>0</v>
      </c>
      <c r="F83" s="401">
        <f>E83*D83/100</f>
        <v>0</v>
      </c>
      <c r="G83" s="401"/>
      <c r="H83" s="401"/>
      <c r="I83" s="401"/>
      <c r="J83" s="503"/>
      <c r="K83" s="401">
        <f>J83*F83/100</f>
        <v>0</v>
      </c>
      <c r="L83" s="503"/>
      <c r="M83" s="401">
        <f>L83*K83/100</f>
        <v>0</v>
      </c>
      <c r="N83" s="397">
        <f>C83+E83+J83+L83</f>
        <v>0</v>
      </c>
      <c r="O83" s="537">
        <f t="shared" ref="O83:O84" si="21">N83*100</f>
        <v>0</v>
      </c>
    </row>
    <row r="84" spans="1:15">
      <c r="A84" s="503" t="s">
        <v>581</v>
      </c>
      <c r="B84" s="504"/>
      <c r="C84" s="397"/>
      <c r="D84" s="401">
        <f t="shared" si="19"/>
        <v>0</v>
      </c>
      <c r="E84" s="397"/>
      <c r="F84" s="401">
        <f>E84*D84/100</f>
        <v>0</v>
      </c>
      <c r="G84" s="401"/>
      <c r="H84" s="401"/>
      <c r="I84" s="401"/>
      <c r="J84" s="503"/>
      <c r="K84" s="401">
        <f>J84*F84/100</f>
        <v>0</v>
      </c>
      <c r="L84" s="503"/>
      <c r="M84" s="401">
        <f>L84*K84/100</f>
        <v>0</v>
      </c>
      <c r="N84" s="397">
        <f>C84+E84+J84+L84</f>
        <v>0</v>
      </c>
      <c r="O84" s="537">
        <f t="shared" si="21"/>
        <v>0</v>
      </c>
    </row>
    <row r="85" spans="1:15">
      <c r="A85" s="503"/>
      <c r="B85" s="503"/>
      <c r="C85" s="503"/>
      <c r="D85" s="503"/>
      <c r="E85" s="503"/>
      <c r="F85" s="503"/>
      <c r="G85" s="503"/>
      <c r="H85" s="503"/>
      <c r="I85" s="503"/>
      <c r="J85" s="503"/>
      <c r="K85" s="503"/>
      <c r="L85" s="503"/>
      <c r="M85" s="503"/>
      <c r="N85" s="397"/>
      <c r="O85" s="503"/>
    </row>
    <row r="86" spans="1:15">
      <c r="A86" s="503" t="s">
        <v>658</v>
      </c>
      <c r="B86" s="504">
        <v>2100195606.0671997</v>
      </c>
      <c r="C86" s="397">
        <v>0</v>
      </c>
      <c r="D86" s="401">
        <f t="shared" si="19"/>
        <v>0</v>
      </c>
      <c r="E86" s="397">
        <v>0</v>
      </c>
      <c r="F86" s="401">
        <f>E86*D86/100</f>
        <v>0</v>
      </c>
      <c r="G86" s="401"/>
      <c r="H86" s="401"/>
      <c r="I86" s="401"/>
      <c r="J86" s="503"/>
      <c r="K86" s="401">
        <f>J86*F86/100</f>
        <v>0</v>
      </c>
      <c r="L86" s="503"/>
      <c r="M86" s="401">
        <f>L86*K86/100</f>
        <v>0</v>
      </c>
      <c r="N86" s="397">
        <f>C86+E86+J86+L86</f>
        <v>0</v>
      </c>
      <c r="O86" s="537">
        <f t="shared" ref="O86:O89" si="22">N86*100</f>
        <v>0</v>
      </c>
    </row>
    <row r="87" spans="1:15">
      <c r="A87" s="503" t="s">
        <v>581</v>
      </c>
      <c r="B87" s="504"/>
      <c r="C87" s="397"/>
      <c r="D87" s="401">
        <f t="shared" si="19"/>
        <v>0</v>
      </c>
      <c r="E87" s="397"/>
      <c r="F87" s="401">
        <f>E87*D87/100</f>
        <v>0</v>
      </c>
      <c r="G87" s="401"/>
      <c r="H87" s="401"/>
      <c r="I87" s="401"/>
      <c r="J87" s="503"/>
      <c r="K87" s="401">
        <f>J87*F87/100</f>
        <v>0</v>
      </c>
      <c r="L87" s="503"/>
      <c r="M87" s="401">
        <f t="shared" ref="M87:M89" si="23">L87*K87/100</f>
        <v>0</v>
      </c>
      <c r="N87" s="397">
        <f>C87+E87+J87+L87</f>
        <v>0</v>
      </c>
      <c r="O87" s="537">
        <f t="shared" si="22"/>
        <v>0</v>
      </c>
    </row>
    <row r="88" spans="1:15">
      <c r="A88" s="503" t="s">
        <v>582</v>
      </c>
      <c r="B88" s="504"/>
      <c r="C88" s="397"/>
      <c r="D88" s="401">
        <f t="shared" si="19"/>
        <v>0</v>
      </c>
      <c r="E88" s="397"/>
      <c r="F88" s="401">
        <f>E88*D88/100</f>
        <v>0</v>
      </c>
      <c r="G88" s="401"/>
      <c r="H88" s="401"/>
      <c r="I88" s="401"/>
      <c r="J88" s="503"/>
      <c r="K88" s="401">
        <f>J88*F88/100</f>
        <v>0</v>
      </c>
      <c r="L88" s="503"/>
      <c r="M88" s="401">
        <f t="shared" si="23"/>
        <v>0</v>
      </c>
      <c r="N88" s="397">
        <f>C88+E88+J88+L88</f>
        <v>0</v>
      </c>
      <c r="O88" s="537">
        <f t="shared" si="22"/>
        <v>0</v>
      </c>
    </row>
    <row r="89" spans="1:15">
      <c r="A89" s="503" t="s">
        <v>583</v>
      </c>
      <c r="B89" s="504"/>
      <c r="C89" s="397"/>
      <c r="D89" s="401">
        <f t="shared" si="19"/>
        <v>0</v>
      </c>
      <c r="E89" s="397"/>
      <c r="F89" s="401">
        <f>E89*D89/100</f>
        <v>0</v>
      </c>
      <c r="G89" s="401"/>
      <c r="H89" s="401"/>
      <c r="I89" s="401"/>
      <c r="J89" s="503"/>
      <c r="K89" s="401">
        <f>J89*F89/100</f>
        <v>0</v>
      </c>
      <c r="L89" s="503"/>
      <c r="M89" s="401">
        <f t="shared" si="23"/>
        <v>0</v>
      </c>
      <c r="N89" s="397">
        <f>C89+E89+J89+L89</f>
        <v>0</v>
      </c>
      <c r="O89" s="537">
        <f t="shared" si="22"/>
        <v>0</v>
      </c>
    </row>
    <row r="90" spans="1:15">
      <c r="A90" s="503"/>
      <c r="B90" s="503"/>
      <c r="C90" s="503"/>
      <c r="D90" s="503"/>
      <c r="E90" s="503"/>
      <c r="F90" s="503"/>
      <c r="G90" s="503"/>
      <c r="H90" s="503"/>
      <c r="I90" s="503"/>
      <c r="J90" s="503"/>
      <c r="K90" s="503"/>
      <c r="L90" s="503"/>
      <c r="M90" s="503"/>
      <c r="N90" s="503"/>
      <c r="O90" s="503"/>
    </row>
    <row r="91" spans="1:15">
      <c r="A91" s="424" t="s">
        <v>689</v>
      </c>
      <c r="B91" s="425" t="e">
        <f>B86+B83+B79+B75+B69+#REF!+B63+B58</f>
        <v>#REF!</v>
      </c>
      <c r="C91" s="425" t="e">
        <f>C86+C83+C79+C75+C69+#REF!+C63+C58</f>
        <v>#REF!</v>
      </c>
      <c r="D91" s="425">
        <f>SUM(D58:D86)</f>
        <v>0</v>
      </c>
      <c r="E91" s="425" t="e">
        <f>E86+E83+E79+E75+E69+#REF!+E63+E58</f>
        <v>#REF!</v>
      </c>
      <c r="F91" s="425">
        <f>SUM(F58:F86)</f>
        <v>0</v>
      </c>
      <c r="G91" s="425"/>
      <c r="H91" s="425"/>
      <c r="I91" s="425"/>
      <c r="J91" s="425" t="e">
        <f>J86+J83+J79+J75+J69+#REF!+J63+J58</f>
        <v>#REF!</v>
      </c>
      <c r="K91" s="425">
        <f t="shared" ref="K91:O91" si="24">SUM(K58:K86)</f>
        <v>0</v>
      </c>
      <c r="L91" s="425" t="e">
        <f>L86+L83+L79+L75+L69+#REF!+L63+L58</f>
        <v>#REF!</v>
      </c>
      <c r="M91" s="425">
        <f t="shared" si="24"/>
        <v>0</v>
      </c>
      <c r="N91" s="425" t="e">
        <f>N86+N83+N79+N75+N69+#REF!+N63+N58</f>
        <v>#REF!</v>
      </c>
      <c r="O91" s="425">
        <f t="shared" si="24"/>
        <v>0</v>
      </c>
    </row>
    <row r="101" spans="1:11">
      <c r="A101" s="955" t="s">
        <v>690</v>
      </c>
      <c r="B101" s="955" t="s">
        <v>691</v>
      </c>
      <c r="C101" s="955" t="s">
        <v>692</v>
      </c>
      <c r="D101" s="955"/>
      <c r="E101" s="955" t="s">
        <v>693</v>
      </c>
      <c r="F101" s="955" t="s">
        <v>638</v>
      </c>
      <c r="G101" s="426"/>
      <c r="H101" s="426"/>
      <c r="I101" s="426"/>
      <c r="J101" s="955" t="s">
        <v>694</v>
      </c>
      <c r="K101" s="956" t="s">
        <v>695</v>
      </c>
    </row>
    <row r="102" spans="1:11" ht="35.25" customHeight="1">
      <c r="A102" s="955"/>
      <c r="B102" s="955"/>
      <c r="C102" s="426" t="s">
        <v>696</v>
      </c>
      <c r="D102" s="426" t="s">
        <v>678</v>
      </c>
      <c r="E102" s="955"/>
      <c r="F102" s="955"/>
      <c r="G102" s="426"/>
      <c r="H102" s="426"/>
      <c r="I102" s="426"/>
      <c r="J102" s="955"/>
      <c r="K102" s="957"/>
    </row>
    <row r="103" spans="1:11" ht="42.75">
      <c r="A103" s="427" t="s">
        <v>697</v>
      </c>
      <c r="B103" s="428">
        <v>52</v>
      </c>
      <c r="C103" s="428">
        <v>21</v>
      </c>
      <c r="D103" s="428">
        <v>25</v>
      </c>
      <c r="E103" s="429">
        <v>0.40384615384615385</v>
      </c>
      <c r="F103" s="427"/>
      <c r="G103" s="427"/>
      <c r="H103" s="427"/>
      <c r="I103" s="427"/>
      <c r="J103" s="427"/>
      <c r="K103" s="427"/>
    </row>
    <row r="104" spans="1:11" ht="42.75">
      <c r="A104" s="427" t="s">
        <v>698</v>
      </c>
      <c r="B104" s="427"/>
      <c r="C104" s="427"/>
      <c r="D104" s="427"/>
      <c r="E104" s="427"/>
      <c r="F104" s="427"/>
      <c r="G104" s="427"/>
      <c r="H104" s="427"/>
      <c r="I104" s="427"/>
      <c r="J104" s="427"/>
      <c r="K104" s="427"/>
    </row>
    <row r="105" spans="1:11" ht="42.75">
      <c r="A105" s="427" t="s">
        <v>699</v>
      </c>
      <c r="B105" s="427"/>
      <c r="C105" s="427"/>
      <c r="D105" s="427"/>
      <c r="E105" s="427"/>
      <c r="F105" s="427"/>
      <c r="G105" s="427"/>
      <c r="H105" s="427"/>
      <c r="I105" s="427"/>
      <c r="J105" s="427"/>
      <c r="K105" s="427"/>
    </row>
    <row r="106" spans="1:11" ht="28.5">
      <c r="A106" s="427" t="s">
        <v>700</v>
      </c>
      <c r="B106" s="427"/>
      <c r="C106" s="427"/>
      <c r="D106" s="427"/>
      <c r="E106" s="427"/>
      <c r="F106" s="427"/>
      <c r="G106" s="427"/>
      <c r="H106" s="427"/>
      <c r="I106" s="427"/>
      <c r="J106" s="427"/>
      <c r="K106" s="427"/>
    </row>
    <row r="107" spans="1:11" ht="42.75">
      <c r="A107" s="427" t="s">
        <v>701</v>
      </c>
      <c r="B107" s="427"/>
      <c r="C107" s="427"/>
      <c r="D107" s="427"/>
      <c r="E107" s="427"/>
      <c r="F107" s="427"/>
      <c r="G107" s="427"/>
      <c r="H107" s="427"/>
      <c r="I107" s="427"/>
      <c r="J107" s="427"/>
      <c r="K107" s="427"/>
    </row>
    <row r="108" spans="1:11" ht="42.75">
      <c r="A108" s="427" t="s">
        <v>702</v>
      </c>
      <c r="B108" s="427"/>
      <c r="C108" s="427"/>
      <c r="D108" s="427"/>
      <c r="E108" s="427"/>
      <c r="F108" s="427"/>
      <c r="G108" s="427"/>
      <c r="H108" s="427"/>
      <c r="I108" s="427"/>
      <c r="J108" s="427"/>
      <c r="K108" s="427"/>
    </row>
    <row r="109" spans="1:11" ht="42.75">
      <c r="A109" s="427" t="s">
        <v>703</v>
      </c>
      <c r="B109" s="427"/>
      <c r="C109" s="427"/>
      <c r="D109" s="427"/>
      <c r="E109" s="427"/>
      <c r="F109" s="427"/>
      <c r="G109" s="427"/>
      <c r="H109" s="427"/>
      <c r="I109" s="427"/>
      <c r="J109" s="427"/>
      <c r="K109" s="427"/>
    </row>
    <row r="110" spans="1:11" ht="57">
      <c r="A110" s="427" t="s">
        <v>704</v>
      </c>
      <c r="B110" s="427"/>
      <c r="C110" s="427"/>
      <c r="D110" s="427"/>
      <c r="E110" s="427"/>
      <c r="F110" s="427"/>
      <c r="G110" s="427"/>
      <c r="H110" s="427"/>
      <c r="I110" s="427"/>
      <c r="J110" s="427"/>
      <c r="K110" s="427"/>
    </row>
  </sheetData>
  <mergeCells count="72">
    <mergeCell ref="X59:Y59"/>
    <mergeCell ref="V66:Y66"/>
    <mergeCell ref="W70:X70"/>
    <mergeCell ref="A101:A102"/>
    <mergeCell ref="B101:B102"/>
    <mergeCell ref="C101:D101"/>
    <mergeCell ref="E101:E102"/>
    <mergeCell ref="F101:F102"/>
    <mergeCell ref="J101:J102"/>
    <mergeCell ref="K101:K102"/>
    <mergeCell ref="V59:W59"/>
    <mergeCell ref="K56:K57"/>
    <mergeCell ref="L56:L57"/>
    <mergeCell ref="M56:M57"/>
    <mergeCell ref="N56:N57"/>
    <mergeCell ref="O56:O57"/>
    <mergeCell ref="AH5:AH6"/>
    <mergeCell ref="G38:G40"/>
    <mergeCell ref="A55:O55"/>
    <mergeCell ref="A56:A57"/>
    <mergeCell ref="B56:B57"/>
    <mergeCell ref="C56:C57"/>
    <mergeCell ref="D56:D57"/>
    <mergeCell ref="E56:E57"/>
    <mergeCell ref="F56:F57"/>
    <mergeCell ref="J56:J57"/>
    <mergeCell ref="AB5:AB6"/>
    <mergeCell ref="AC5:AC6"/>
    <mergeCell ref="AD5:AD6"/>
    <mergeCell ref="AE5:AE6"/>
    <mergeCell ref="AF5:AF6"/>
    <mergeCell ref="AG5:AG6"/>
    <mergeCell ref="AA5:AA6"/>
    <mergeCell ref="M5:M6"/>
    <mergeCell ref="N5:N6"/>
    <mergeCell ref="O5:O6"/>
    <mergeCell ref="P5:P6"/>
    <mergeCell ref="Q5:Q6"/>
    <mergeCell ref="U5:U6"/>
    <mergeCell ref="V5:V6"/>
    <mergeCell ref="W5:W6"/>
    <mergeCell ref="X5:X6"/>
    <mergeCell ref="Y5:Y6"/>
    <mergeCell ref="Z5:Z6"/>
    <mergeCell ref="L5:L6"/>
    <mergeCell ref="A5:A6"/>
    <mergeCell ref="B5:B6"/>
    <mergeCell ref="C5:C6"/>
    <mergeCell ref="D5:D6"/>
    <mergeCell ref="E5:E6"/>
    <mergeCell ref="F5:F6"/>
    <mergeCell ref="G5:G6"/>
    <mergeCell ref="H5:H6"/>
    <mergeCell ref="I5:I6"/>
    <mergeCell ref="J5:J6"/>
    <mergeCell ref="K5:K6"/>
    <mergeCell ref="AP4:AP6"/>
    <mergeCell ref="A2:AO3"/>
    <mergeCell ref="A4:J4"/>
    <mergeCell ref="K4:Q4"/>
    <mergeCell ref="R4:R6"/>
    <mergeCell ref="S4:S6"/>
    <mergeCell ref="T4:T6"/>
    <mergeCell ref="U4:AA4"/>
    <mergeCell ref="AB4:AH4"/>
    <mergeCell ref="AI4:AI6"/>
    <mergeCell ref="AJ4:AJ6"/>
    <mergeCell ref="AK4:AK6"/>
    <mergeCell ref="AL4:AL6"/>
    <mergeCell ref="AM4:AM6"/>
    <mergeCell ref="AN4:AN6"/>
    <mergeCell ref="AO4:AO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6FA08-7E01-43EC-848E-1566D41EEDC9}">
  <dimension ref="A18:S38"/>
  <sheetViews>
    <sheetView zoomScale="73" zoomScaleNormal="73" workbookViewId="0">
      <selection activeCell="Q38" sqref="Q38"/>
    </sheetView>
  </sheetViews>
  <sheetFormatPr defaultColWidth="11" defaultRowHeight="15"/>
  <cols>
    <col min="1" max="1" width="24.625" customWidth="1"/>
    <col min="2" max="2" width="21.125" customWidth="1"/>
    <col min="3" max="3" width="17.75" customWidth="1"/>
    <col min="4" max="5" width="19.125" customWidth="1"/>
    <col min="6" max="6" width="17.625" customWidth="1"/>
    <col min="7" max="7" width="22.75" customWidth="1"/>
    <col min="8" max="8" width="17.375" customWidth="1"/>
    <col min="9" max="9" width="18.125" customWidth="1"/>
    <col min="10" max="10" width="17.25" customWidth="1"/>
    <col min="11" max="11" width="17.875" customWidth="1"/>
    <col min="12" max="12" width="16" customWidth="1"/>
    <col min="13" max="14" width="15.875" customWidth="1"/>
    <col min="15" max="15" width="16.375" customWidth="1"/>
    <col min="16" max="16" width="20.25" customWidth="1"/>
    <col min="18" max="18" width="14.25" customWidth="1"/>
    <col min="19" max="19" width="19.75" customWidth="1"/>
  </cols>
  <sheetData>
    <row r="18" spans="1:19" ht="75">
      <c r="A18" s="408" t="s">
        <v>602</v>
      </c>
      <c r="B18" s="408" t="s">
        <v>705</v>
      </c>
      <c r="C18" s="408" t="s">
        <v>706</v>
      </c>
      <c r="D18" s="408" t="s">
        <v>707</v>
      </c>
      <c r="E18" s="408" t="s">
        <v>595</v>
      </c>
      <c r="F18" s="408" t="s">
        <v>708</v>
      </c>
      <c r="G18" s="408" t="s">
        <v>709</v>
      </c>
      <c r="H18" s="408" t="s">
        <v>608</v>
      </c>
      <c r="I18" s="408" t="s">
        <v>595</v>
      </c>
      <c r="J18" s="408" t="s">
        <v>609</v>
      </c>
      <c r="K18" s="408" t="s">
        <v>610</v>
      </c>
      <c r="L18" s="408" t="s">
        <v>611</v>
      </c>
      <c r="M18" s="408" t="s">
        <v>595</v>
      </c>
      <c r="N18" s="408" t="s">
        <v>612</v>
      </c>
      <c r="O18" s="408" t="s">
        <v>613</v>
      </c>
      <c r="P18" s="408" t="s">
        <v>614</v>
      </c>
      <c r="Q18" s="408" t="s">
        <v>595</v>
      </c>
      <c r="R18" s="408" t="s">
        <v>615</v>
      </c>
      <c r="S18" s="408" t="s">
        <v>710</v>
      </c>
    </row>
    <row r="19" spans="1:19">
      <c r="A19" s="409"/>
      <c r="B19" s="409"/>
      <c r="C19" s="410"/>
      <c r="D19" s="411"/>
      <c r="E19" s="411"/>
      <c r="F19" s="412"/>
      <c r="G19" s="412"/>
      <c r="H19" s="412"/>
      <c r="I19" s="412"/>
      <c r="J19" s="702"/>
      <c r="K19" s="412"/>
      <c r="L19" s="412"/>
      <c r="M19" s="412"/>
      <c r="N19" s="702"/>
      <c r="O19" s="702"/>
      <c r="P19" s="417"/>
      <c r="Q19" s="417"/>
      <c r="R19" s="711"/>
      <c r="S19" s="417"/>
    </row>
    <row r="38" spans="3:4">
      <c r="C38">
        <v>2753</v>
      </c>
      <c r="D38">
        <v>2634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7CF3-C6DF-4F95-B9C5-8F8964B8DDD2}">
  <dimension ref="A2:U23"/>
  <sheetViews>
    <sheetView workbookViewId="0">
      <selection activeCell="D50" sqref="D50"/>
    </sheetView>
  </sheetViews>
  <sheetFormatPr defaultColWidth="11" defaultRowHeight="15"/>
  <cols>
    <col min="1" max="1" width="44.875" customWidth="1"/>
    <col min="2" max="2" width="55.625" customWidth="1"/>
    <col min="3" max="3" width="24.625" customWidth="1"/>
    <col min="4" max="4" width="27" customWidth="1"/>
    <col min="5" max="5" width="22.625" customWidth="1"/>
    <col min="6" max="6" width="20.125" customWidth="1"/>
  </cols>
  <sheetData>
    <row r="2" spans="1:6">
      <c r="A2" s="977" t="s">
        <v>711</v>
      </c>
      <c r="B2" s="977"/>
      <c r="C2" s="977"/>
      <c r="D2" s="977"/>
      <c r="E2" s="977"/>
      <c r="F2" s="977"/>
    </row>
    <row r="3" spans="1:6" ht="45">
      <c r="A3" s="227" t="s">
        <v>712</v>
      </c>
      <c r="B3" s="227" t="s">
        <v>713</v>
      </c>
      <c r="C3" s="227" t="s">
        <v>714</v>
      </c>
      <c r="D3" s="227" t="s">
        <v>715</v>
      </c>
      <c r="E3" s="216" t="s">
        <v>716</v>
      </c>
      <c r="F3" s="216" t="s">
        <v>717</v>
      </c>
    </row>
    <row r="4" spans="1:6">
      <c r="A4" s="960" t="s">
        <v>8</v>
      </c>
      <c r="B4" s="347" t="s">
        <v>65</v>
      </c>
      <c r="C4" s="348">
        <v>1158312818</v>
      </c>
      <c r="D4" s="978">
        <f>C4+C5+C6</f>
        <v>1360272751.3800001</v>
      </c>
      <c r="E4" s="351">
        <f>C4/D4*100</f>
        <v>85.152982504787275</v>
      </c>
      <c r="F4" s="964">
        <f>D4/C23*100</f>
        <v>0.8322825552659554</v>
      </c>
    </row>
    <row r="5" spans="1:6" ht="29.25">
      <c r="A5" s="966"/>
      <c r="B5" s="347" t="s">
        <v>718</v>
      </c>
      <c r="C5" s="348">
        <v>93243266.379999995</v>
      </c>
      <c r="D5" s="978"/>
      <c r="E5" s="351">
        <f>C5/D4*100</f>
        <v>6.8547477912355781</v>
      </c>
      <c r="F5" s="973"/>
    </row>
    <row r="6" spans="1:6" ht="29.25">
      <c r="A6" s="961"/>
      <c r="B6" s="347" t="s">
        <v>102</v>
      </c>
      <c r="C6" s="348">
        <v>108716667</v>
      </c>
      <c r="D6" s="978"/>
      <c r="E6" s="351">
        <f>C6/D4*100</f>
        <v>7.9922697039771382</v>
      </c>
      <c r="F6" s="965"/>
    </row>
    <row r="7" spans="1:6" ht="28.5">
      <c r="A7" s="960" t="s">
        <v>116</v>
      </c>
      <c r="B7" s="346" t="s">
        <v>118</v>
      </c>
      <c r="C7" s="348">
        <v>4485135143.4233007</v>
      </c>
      <c r="D7" s="962">
        <f>C7+C8</f>
        <v>69157016552.655304</v>
      </c>
      <c r="E7" s="351">
        <f>C7/D7*100</f>
        <v>6.485437583919448</v>
      </c>
      <c r="F7" s="964">
        <f>D7/C23*100</f>
        <v>42.313703919027276</v>
      </c>
    </row>
    <row r="8" spans="1:6" ht="28.5">
      <c r="A8" s="961"/>
      <c r="B8" s="346" t="s">
        <v>719</v>
      </c>
      <c r="C8" s="348">
        <v>64671881409.232002</v>
      </c>
      <c r="D8" s="963"/>
      <c r="E8" s="351">
        <f>C8/D7*100</f>
        <v>93.514562416080551</v>
      </c>
      <c r="F8" s="965"/>
    </row>
    <row r="9" spans="1:6" ht="43.5">
      <c r="A9" s="960" t="s">
        <v>720</v>
      </c>
      <c r="B9" s="347" t="s">
        <v>721</v>
      </c>
      <c r="C9" s="348">
        <v>59300895055.888008</v>
      </c>
      <c r="D9" s="962">
        <f>C9+C10</f>
        <v>87313843606.270447</v>
      </c>
      <c r="E9" s="214">
        <f>C9/D9*100</f>
        <v>67.916944904289281</v>
      </c>
      <c r="F9" s="964">
        <f>D9/C23*100</f>
        <v>53.422954178119866</v>
      </c>
    </row>
    <row r="10" spans="1:6" ht="57.75">
      <c r="A10" s="961"/>
      <c r="B10" s="347" t="s">
        <v>722</v>
      </c>
      <c r="C10" s="349">
        <v>28012948550.382439</v>
      </c>
      <c r="D10" s="963"/>
      <c r="E10" s="214">
        <f>C10/D9*100</f>
        <v>32.083055095710719</v>
      </c>
      <c r="F10" s="965"/>
    </row>
    <row r="11" spans="1:6" ht="29.25">
      <c r="A11" s="974" t="s">
        <v>723</v>
      </c>
      <c r="B11" s="347" t="s">
        <v>316</v>
      </c>
      <c r="C11" s="350">
        <v>0</v>
      </c>
      <c r="D11" s="962">
        <f>C11+C12+C13+C14</f>
        <v>3775014142.5752001</v>
      </c>
      <c r="E11" s="214">
        <v>0</v>
      </c>
      <c r="F11" s="964">
        <f>D11/C23*100</f>
        <v>2.3097414937998013</v>
      </c>
    </row>
    <row r="12" spans="1:6">
      <c r="A12" s="975"/>
      <c r="B12" s="350" t="s">
        <v>724</v>
      </c>
      <c r="C12" s="348">
        <v>129828893.23999999</v>
      </c>
      <c r="D12" s="971"/>
      <c r="E12" s="351">
        <f>C12/D11*100</f>
        <v>3.4391630954641843</v>
      </c>
      <c r="F12" s="973"/>
    </row>
    <row r="13" spans="1:6">
      <c r="A13" s="975"/>
      <c r="B13" s="347" t="s">
        <v>725</v>
      </c>
      <c r="C13" s="352">
        <v>1637437088.3352001</v>
      </c>
      <c r="D13" s="971"/>
      <c r="E13" s="351">
        <f>C13/D11*100</f>
        <v>43.375654407964419</v>
      </c>
      <c r="F13" s="973"/>
    </row>
    <row r="14" spans="1:6" ht="29.25">
      <c r="A14" s="976"/>
      <c r="B14" s="347" t="s">
        <v>726</v>
      </c>
      <c r="C14" s="352">
        <v>2007748161</v>
      </c>
      <c r="D14" s="963"/>
      <c r="E14" s="351">
        <f>C14/D11*100</f>
        <v>53.185182496571393</v>
      </c>
      <c r="F14" s="965"/>
    </row>
    <row r="15" spans="1:6" ht="29.25">
      <c r="A15" s="960" t="s">
        <v>379</v>
      </c>
      <c r="B15" s="347" t="s">
        <v>381</v>
      </c>
      <c r="C15" s="352">
        <v>246738977</v>
      </c>
      <c r="D15" s="962">
        <f>C15+C16</f>
        <v>418906831.15999997</v>
      </c>
      <c r="E15" s="351">
        <f>C15/D15*100</f>
        <v>58.900681165010397</v>
      </c>
      <c r="F15" s="964">
        <f>D15/C23*100</f>
        <v>0.25630804373792226</v>
      </c>
    </row>
    <row r="16" spans="1:6" ht="28.5" customHeight="1">
      <c r="A16" s="961"/>
      <c r="B16" s="350" t="s">
        <v>399</v>
      </c>
      <c r="C16" s="352">
        <v>172167854.16</v>
      </c>
      <c r="D16" s="963"/>
      <c r="E16" s="351">
        <f>C16/D15*100</f>
        <v>41.09931883498961</v>
      </c>
      <c r="F16" s="965"/>
    </row>
    <row r="17" spans="1:21" ht="29.25">
      <c r="A17" s="960" t="s">
        <v>727</v>
      </c>
      <c r="B17" s="347" t="s">
        <v>424</v>
      </c>
      <c r="C17" s="352">
        <v>158201568</v>
      </c>
      <c r="D17" s="962">
        <f>C17+C18</f>
        <v>158201568</v>
      </c>
      <c r="E17" s="214">
        <f>C17/D17*100</f>
        <v>100</v>
      </c>
      <c r="F17" s="964">
        <f>D17/C23*100</f>
        <v>9.6795591272811191E-2</v>
      </c>
    </row>
    <row r="18" spans="1:21" ht="29.25">
      <c r="A18" s="961"/>
      <c r="B18" s="347" t="s">
        <v>436</v>
      </c>
      <c r="C18" s="350">
        <v>0</v>
      </c>
      <c r="D18" s="963"/>
      <c r="E18" s="214">
        <v>0</v>
      </c>
      <c r="F18" s="965"/>
    </row>
    <row r="19" spans="1:21" ht="29.25">
      <c r="A19" s="346" t="s">
        <v>728</v>
      </c>
      <c r="B19" s="347" t="s">
        <v>729</v>
      </c>
      <c r="C19" s="352">
        <v>383710791</v>
      </c>
      <c r="D19" s="353">
        <f>C19</f>
        <v>383710791</v>
      </c>
      <c r="E19" s="214">
        <f>D19/C19*100</f>
        <v>100</v>
      </c>
      <c r="F19" s="351">
        <f>D19/C23*100</f>
        <v>0.23477335504413632</v>
      </c>
    </row>
    <row r="20" spans="1:21">
      <c r="A20" s="960" t="s">
        <v>730</v>
      </c>
      <c r="B20" s="354" t="s">
        <v>731</v>
      </c>
      <c r="C20" s="967">
        <v>871849430</v>
      </c>
      <c r="D20" s="970">
        <f>C20</f>
        <v>871849430</v>
      </c>
      <c r="E20" s="972">
        <f>C20/D20*100</f>
        <v>100</v>
      </c>
      <c r="F20" s="964">
        <f>D20/C23*100</f>
        <v>0.53344086373223187</v>
      </c>
    </row>
    <row r="21" spans="1:21">
      <c r="A21" s="966"/>
      <c r="B21" s="354" t="s">
        <v>732</v>
      </c>
      <c r="C21" s="968"/>
      <c r="D21" s="971"/>
      <c r="E21" s="971"/>
      <c r="F21" s="973"/>
      <c r="U21" t="s">
        <v>733</v>
      </c>
    </row>
    <row r="22" spans="1:21">
      <c r="A22" s="961"/>
      <c r="B22" s="354" t="s">
        <v>544</v>
      </c>
      <c r="C22" s="969"/>
      <c r="D22" s="963"/>
      <c r="E22" s="963"/>
      <c r="F22" s="965"/>
    </row>
    <row r="23" spans="1:21">
      <c r="A23" s="958" t="s">
        <v>682</v>
      </c>
      <c r="B23" s="959"/>
      <c r="C23" s="355">
        <f>SUM(C4:C22)</f>
        <v>163438815673.04095</v>
      </c>
      <c r="D23" s="355">
        <f>SUM(D4:D22)</f>
        <v>163438815673.04095</v>
      </c>
      <c r="E23" s="356"/>
      <c r="F23" s="356">
        <f>SUM(F4:F22)</f>
        <v>100</v>
      </c>
    </row>
  </sheetData>
  <mergeCells count="25">
    <mergeCell ref="A2:F2"/>
    <mergeCell ref="A4:A6"/>
    <mergeCell ref="D4:D6"/>
    <mergeCell ref="F4:F6"/>
    <mergeCell ref="A7:A8"/>
    <mergeCell ref="D7:D8"/>
    <mergeCell ref="F7:F8"/>
    <mergeCell ref="A9:A10"/>
    <mergeCell ref="D9:D10"/>
    <mergeCell ref="F9:F10"/>
    <mergeCell ref="A11:A14"/>
    <mergeCell ref="D11:D14"/>
    <mergeCell ref="F11:F14"/>
    <mergeCell ref="A23:B23"/>
    <mergeCell ref="A15:A16"/>
    <mergeCell ref="D15:D16"/>
    <mergeCell ref="F15:F16"/>
    <mergeCell ref="A17:A18"/>
    <mergeCell ref="D17:D18"/>
    <mergeCell ref="F17:F18"/>
    <mergeCell ref="A20:A22"/>
    <mergeCell ref="C20:C22"/>
    <mergeCell ref="D20:D22"/>
    <mergeCell ref="E20:E22"/>
    <mergeCell ref="F20:F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47E69-C19C-412D-B157-BF59C88664F9}">
  <dimension ref="A1:L33"/>
  <sheetViews>
    <sheetView topLeftCell="B13" workbookViewId="0">
      <selection activeCell="G20" sqref="G20"/>
    </sheetView>
  </sheetViews>
  <sheetFormatPr defaultColWidth="11" defaultRowHeight="15"/>
  <cols>
    <col min="1" max="1" width="70.125" bestFit="1" customWidth="1"/>
    <col min="2" max="2" width="89.75" customWidth="1"/>
    <col min="3" max="3" width="18.25" bestFit="1" customWidth="1"/>
    <col min="4" max="4" width="18.625" customWidth="1"/>
    <col min="5" max="5" width="21.625" bestFit="1" customWidth="1"/>
    <col min="6" max="6" width="18.625" customWidth="1"/>
    <col min="7" max="7" width="22.25" customWidth="1"/>
    <col min="8" max="8" width="22.625" bestFit="1" customWidth="1"/>
    <col min="9" max="9" width="17.875" customWidth="1"/>
    <col min="10" max="10" width="20.25" bestFit="1" customWidth="1"/>
    <col min="11" max="11" width="19.25" bestFit="1" customWidth="1"/>
    <col min="12" max="12" width="17.625" bestFit="1" customWidth="1"/>
  </cols>
  <sheetData>
    <row r="1" spans="1:12" s="615" customFormat="1" ht="15.75" thickBot="1">
      <c r="A1" s="610" t="s">
        <v>734</v>
      </c>
      <c r="B1" s="611" t="s">
        <v>32</v>
      </c>
      <c r="C1" s="612" t="s">
        <v>17</v>
      </c>
      <c r="D1" s="613" t="s">
        <v>18</v>
      </c>
      <c r="E1" s="613" t="s">
        <v>19</v>
      </c>
      <c r="F1" s="614" t="s">
        <v>20</v>
      </c>
      <c r="G1" s="614" t="s">
        <v>735</v>
      </c>
      <c r="H1" s="614" t="s">
        <v>736</v>
      </c>
    </row>
    <row r="2" spans="1:12">
      <c r="A2" s="991" t="s">
        <v>8</v>
      </c>
      <c r="B2" s="616" t="s">
        <v>65</v>
      </c>
      <c r="C2" s="617">
        <f>+'[3]Linea 1'!H31</f>
        <v>321376229</v>
      </c>
      <c r="D2" s="618">
        <f>+'[3]Linea 1'!L31</f>
        <v>156871871</v>
      </c>
      <c r="E2" s="617">
        <f>+'[3]Linea 1'!P31</f>
        <v>368865413</v>
      </c>
      <c r="F2" s="619">
        <f>+'[3]Linea 1'!T31</f>
        <v>311199305</v>
      </c>
      <c r="G2" s="609">
        <f>F2+E2+D2+C2</f>
        <v>1158312818</v>
      </c>
      <c r="H2" s="993">
        <f>G2+G3+G4</f>
        <v>1360272751.3800001</v>
      </c>
    </row>
    <row r="3" spans="1:12">
      <c r="A3" s="987"/>
      <c r="B3" s="620" t="s">
        <v>718</v>
      </c>
      <c r="C3" s="621">
        <f>+'[3]Linea 1'!H40</f>
        <v>21466667</v>
      </c>
      <c r="D3" s="622">
        <f>+'[3]Linea 1'!L40</f>
        <v>18000000</v>
      </c>
      <c r="E3" s="621">
        <f>+'[3]Linea 1'!P40</f>
        <v>28276599.379999999</v>
      </c>
      <c r="F3" s="623">
        <f>+'[3]Linea 1'!T40</f>
        <v>25500000</v>
      </c>
      <c r="G3" s="609">
        <f t="shared" ref="G3:G4" si="0">F3+E3+D3+C3</f>
        <v>93243266.379999995</v>
      </c>
      <c r="H3" s="994"/>
    </row>
    <row r="4" spans="1:12" ht="15.75" thickBot="1">
      <c r="A4" s="992"/>
      <c r="B4" s="624" t="s">
        <v>102</v>
      </c>
      <c r="C4" s="625">
        <f>+'[3]Linea 1'!H51</f>
        <v>25466667</v>
      </c>
      <c r="D4" s="626">
        <f>+'[3]Linea 1'!L51</f>
        <v>27750000</v>
      </c>
      <c r="E4" s="625">
        <f>+'[3]Linea 1'!P51</f>
        <v>27750000</v>
      </c>
      <c r="F4" s="627">
        <f>+'[3]Linea 1'!T51</f>
        <v>27750000</v>
      </c>
      <c r="G4" s="609">
        <f t="shared" si="0"/>
        <v>108716667</v>
      </c>
      <c r="H4" s="995"/>
    </row>
    <row r="5" spans="1:12">
      <c r="A5" s="986" t="s">
        <v>116</v>
      </c>
      <c r="B5" s="620" t="s">
        <v>118</v>
      </c>
      <c r="C5" s="621">
        <f>+'[3]Linea 2'!H31</f>
        <v>1014608247.7275001</v>
      </c>
      <c r="D5" s="622">
        <f>+'[3]Linea 2'!L31</f>
        <v>1006231345.7275001</v>
      </c>
      <c r="E5" s="621">
        <f>+'[3]Linea 2'!P31</f>
        <v>1191623084.5973752</v>
      </c>
      <c r="F5" s="623">
        <f>+'[3]Linea 2'!T31</f>
        <v>1272672465.3709252</v>
      </c>
      <c r="G5" s="609">
        <f>F5+E5+D5+C5</f>
        <v>4485135143.4233007</v>
      </c>
      <c r="H5" s="993">
        <f>G5+G6</f>
        <v>69157016552.655304</v>
      </c>
    </row>
    <row r="6" spans="1:12" ht="15.75" thickBot="1">
      <c r="A6" s="988"/>
      <c r="B6" s="620" t="s">
        <v>192</v>
      </c>
      <c r="C6" s="621">
        <f>+'[3]Linea 2'!H102</f>
        <v>13150413806.18</v>
      </c>
      <c r="D6" s="622">
        <f>+'[3]Linea 2'!L102</f>
        <v>18380294030.18</v>
      </c>
      <c r="E6" s="621">
        <f>+'[3]Linea 2'!P102</f>
        <v>16895890730.408001</v>
      </c>
      <c r="F6" s="623">
        <f>+'[3]Linea 2'!T102</f>
        <v>16245282842.464001</v>
      </c>
      <c r="G6" s="609">
        <f>F6+E6+D6+C6</f>
        <v>64671881409.232002</v>
      </c>
      <c r="H6" s="996"/>
    </row>
    <row r="7" spans="1:12" ht="45">
      <c r="A7" s="991" t="s">
        <v>720</v>
      </c>
      <c r="B7" s="628" t="s">
        <v>721</v>
      </c>
      <c r="C7" s="617">
        <f>+'[3]Linea 3'!H141</f>
        <v>13900940552.440001</v>
      </c>
      <c r="D7" s="618">
        <f>+'[3]Linea 3'!L141</f>
        <v>15686932811.440001</v>
      </c>
      <c r="E7" s="617">
        <f>+'[3]Linea 3'!P141</f>
        <v>14706964838.648001</v>
      </c>
      <c r="F7" s="619">
        <f>+'[3]Linea 3'!T141</f>
        <v>15006056853.360001</v>
      </c>
      <c r="G7" s="629">
        <f>F7+E7+D7+C7</f>
        <v>59300895055.888008</v>
      </c>
      <c r="H7" s="989">
        <f>G7+G8</f>
        <v>87313843606.270447</v>
      </c>
    </row>
    <row r="8" spans="1:12" ht="60.75" thickBot="1">
      <c r="A8" s="992"/>
      <c r="B8" s="630" t="s">
        <v>288</v>
      </c>
      <c r="C8" s="625">
        <f>+'[3]Linea 3'!H198</f>
        <v>5773190812</v>
      </c>
      <c r="D8" s="626">
        <f>+'[3]Linea 3'!L198</f>
        <v>7139718093.2306252</v>
      </c>
      <c r="E8" s="625">
        <f>+'[3]Linea 3'!P198</f>
        <v>7384624418.2878122</v>
      </c>
      <c r="F8" s="627">
        <f>+'[3]Linea 3'!T198</f>
        <v>7715415226.8640003</v>
      </c>
      <c r="G8" s="629">
        <f>F8+E8+D8+C8</f>
        <v>28012948550.382439</v>
      </c>
      <c r="H8" s="990"/>
    </row>
    <row r="9" spans="1:12">
      <c r="A9" s="986" t="s">
        <v>723</v>
      </c>
      <c r="B9" s="620" t="s">
        <v>316</v>
      </c>
      <c r="C9" s="621">
        <v>0</v>
      </c>
      <c r="D9" s="622">
        <v>0</v>
      </c>
      <c r="E9" s="621">
        <v>0</v>
      </c>
      <c r="F9" s="623">
        <v>0</v>
      </c>
      <c r="G9" s="609">
        <f>F9+E9+C9</f>
        <v>0</v>
      </c>
      <c r="H9" s="989">
        <f>G9+G10+G11+G12</f>
        <v>3775014142.5752001</v>
      </c>
      <c r="K9" s="631"/>
    </row>
    <row r="10" spans="1:12">
      <c r="A10" s="987"/>
      <c r="B10" s="620" t="s">
        <v>737</v>
      </c>
      <c r="C10" s="621">
        <f>+'[3]Linea 4'!H8</f>
        <v>15355109</v>
      </c>
      <c r="D10" s="622">
        <f>+'[3]Linea 4'!L8</f>
        <v>36133873.879999995</v>
      </c>
      <c r="E10" s="621">
        <f>+'[3]Linea 4'!P8</f>
        <v>37338908.68</v>
      </c>
      <c r="F10" s="623">
        <f>+'[3]Linea 4'!T8</f>
        <v>41001001.68</v>
      </c>
      <c r="G10" s="609">
        <f>F10+E10+D10+C10</f>
        <v>129828893.23999999</v>
      </c>
      <c r="H10" s="990"/>
      <c r="K10" s="631"/>
    </row>
    <row r="11" spans="1:12">
      <c r="A11" s="987"/>
      <c r="B11" s="620" t="s">
        <v>725</v>
      </c>
      <c r="C11" s="621">
        <f>+'[3]Linea 4'!H48</f>
        <v>256789261.06799999</v>
      </c>
      <c r="D11" s="622">
        <f>+'[3]Linea 4'!L48</f>
        <v>419033158.74000001</v>
      </c>
      <c r="E11" s="621">
        <f>+'[3]Linea 4'!P48</f>
        <v>466501266.06800002</v>
      </c>
      <c r="F11" s="623">
        <f>+'[3]Linea 4'!T48</f>
        <v>495113402.45920002</v>
      </c>
      <c r="G11" s="609">
        <f>F11+E11+D11+C11</f>
        <v>1637437088.3352001</v>
      </c>
      <c r="H11" s="990"/>
      <c r="K11" s="631"/>
    </row>
    <row r="12" spans="1:12" ht="15.75" thickBot="1">
      <c r="A12" s="988"/>
      <c r="B12" s="620" t="s">
        <v>726</v>
      </c>
      <c r="C12" s="621">
        <f>+'[3]Linea 4'!H71</f>
        <v>241245491</v>
      </c>
      <c r="D12" s="622">
        <f>+'[3]Linea 4'!L71</f>
        <v>542709618</v>
      </c>
      <c r="E12" s="621">
        <f>+'[3]Linea 4'!P71</f>
        <v>726904535</v>
      </c>
      <c r="F12" s="623">
        <f>+'[3]Linea 4'!T71</f>
        <v>496888517</v>
      </c>
      <c r="G12" s="609">
        <f>F12+E12+C12+D12</f>
        <v>2007748161</v>
      </c>
      <c r="H12" s="990"/>
      <c r="K12" s="632"/>
    </row>
    <row r="13" spans="1:12">
      <c r="A13" s="991" t="s">
        <v>738</v>
      </c>
      <c r="B13" s="616" t="s">
        <v>381</v>
      </c>
      <c r="C13" s="617">
        <f>+'[3]Linea 5'!H14</f>
        <v>42413923</v>
      </c>
      <c r="D13" s="618">
        <f>+'[3]Linea 5'!L14</f>
        <v>67489118</v>
      </c>
      <c r="E13" s="617">
        <f>+'[3]Linea 5'!P14</f>
        <v>90048136</v>
      </c>
      <c r="F13" s="619">
        <f>+'[3]Linea 5'!T14</f>
        <v>46787800</v>
      </c>
      <c r="G13" s="609">
        <f>F13+E13+D13+C13</f>
        <v>246738977</v>
      </c>
      <c r="H13" s="989">
        <f>G13+G14</f>
        <v>418906831.15999997</v>
      </c>
    </row>
    <row r="14" spans="1:12" ht="15.75" thickBot="1">
      <c r="A14" s="992"/>
      <c r="B14" s="624" t="s">
        <v>399</v>
      </c>
      <c r="C14" s="625">
        <f>+'[3]Linea 5'!H26</f>
        <v>47068653.239999995</v>
      </c>
      <c r="D14" s="626">
        <f>+'[3]Linea 5'!L26</f>
        <v>47068653.239999995</v>
      </c>
      <c r="E14" s="625">
        <f>+'[3]Linea 5'!P26</f>
        <v>44267850.339999996</v>
      </c>
      <c r="F14" s="627">
        <f>+'[3]Linea 5'!T26</f>
        <v>33762697.340000004</v>
      </c>
      <c r="G14" s="609">
        <f>F14+E14+D14+C14</f>
        <v>172167854.16</v>
      </c>
      <c r="H14" s="990"/>
    </row>
    <row r="15" spans="1:12">
      <c r="A15" s="986" t="s">
        <v>727</v>
      </c>
      <c r="B15" s="620" t="s">
        <v>424</v>
      </c>
      <c r="C15" s="621">
        <f>+'[3]Linea 6'!H2</f>
        <v>39550392</v>
      </c>
      <c r="D15" s="622">
        <f>+'[3]Linea 6'!L2</f>
        <v>39550392</v>
      </c>
      <c r="E15" s="621">
        <f>+'[3]Linea 6'!P2</f>
        <v>39550392</v>
      </c>
      <c r="F15" s="623">
        <f>+'[3]Linea 6'!T2</f>
        <v>39550392</v>
      </c>
      <c r="G15" s="629">
        <f>F15+E15+C15+D15</f>
        <v>158201568</v>
      </c>
      <c r="H15" s="989">
        <f>G15+G16</f>
        <v>158201568</v>
      </c>
      <c r="J15" s="631"/>
      <c r="L15" s="632"/>
    </row>
    <row r="16" spans="1:12" ht="15.75" thickBot="1">
      <c r="A16" s="988"/>
      <c r="B16" s="620" t="s">
        <v>436</v>
      </c>
      <c r="C16" s="621"/>
      <c r="D16" s="622"/>
      <c r="E16" s="621"/>
      <c r="F16" s="623"/>
      <c r="G16" s="633">
        <v>0</v>
      </c>
      <c r="H16" s="989"/>
    </row>
    <row r="17" spans="1:9" ht="75.75" thickBot="1">
      <c r="A17" s="634" t="s">
        <v>445</v>
      </c>
      <c r="B17" s="635" t="s">
        <v>447</v>
      </c>
      <c r="C17" s="636">
        <f>+'[3]Linea 7'!H13</f>
        <v>62073375</v>
      </c>
      <c r="D17" s="637">
        <f>+'[3]Linea 7'!L13</f>
        <v>83518288</v>
      </c>
      <c r="E17" s="636">
        <f>+'[3]Linea 7'!P13</f>
        <v>112665341</v>
      </c>
      <c r="F17" s="637">
        <f>+'[3]Linea 7'!T13</f>
        <v>125453787</v>
      </c>
      <c r="G17" s="629">
        <f>F17+E17+D17+C17</f>
        <v>383710791</v>
      </c>
      <c r="H17" s="638">
        <f>G17</f>
        <v>383710791</v>
      </c>
    </row>
    <row r="18" spans="1:9">
      <c r="A18" s="979" t="s">
        <v>730</v>
      </c>
      <c r="B18" s="616" t="s">
        <v>731</v>
      </c>
      <c r="C18" s="617">
        <f>+'[3]Linea 8'!H27</f>
        <v>98213476.019999996</v>
      </c>
      <c r="D18" s="618">
        <f>+'[3]Linea 8'!L27</f>
        <v>433145535.01999998</v>
      </c>
      <c r="E18" s="617">
        <f>+'[3]Linea 8'!P27</f>
        <v>108489246.62</v>
      </c>
      <c r="F18" s="618">
        <f>+'[3]Linea 8'!T27</f>
        <v>232001172.02000001</v>
      </c>
      <c r="G18" s="982">
        <f>F18+E18+C18+D18</f>
        <v>871849429.67999995</v>
      </c>
      <c r="H18" s="984">
        <f>G18</f>
        <v>871849429.67999995</v>
      </c>
    </row>
    <row r="19" spans="1:9">
      <c r="A19" s="980"/>
      <c r="B19" s="620" t="s">
        <v>732</v>
      </c>
      <c r="C19" s="621"/>
      <c r="D19" s="622"/>
      <c r="E19" s="621"/>
      <c r="F19" s="622"/>
      <c r="G19" s="983"/>
      <c r="H19" s="985"/>
    </row>
    <row r="20" spans="1:9" ht="15.75" thickBot="1">
      <c r="A20" s="981"/>
      <c r="B20" s="624" t="s">
        <v>544</v>
      </c>
      <c r="C20" s="625"/>
      <c r="D20" s="626"/>
      <c r="E20" s="625"/>
      <c r="F20" s="626"/>
      <c r="G20" s="632">
        <f>SUM(G2:G19)</f>
        <v>163438815672.72095</v>
      </c>
      <c r="H20" s="632">
        <f>SUM(H2:H19)</f>
        <v>163438815672.72095</v>
      </c>
    </row>
    <row r="21" spans="1:9">
      <c r="A21" s="639"/>
      <c r="C21" s="621"/>
      <c r="D21" s="621"/>
      <c r="E21" s="621"/>
      <c r="F21" s="621"/>
      <c r="G21" s="640" t="s">
        <v>44</v>
      </c>
      <c r="H21" s="641" t="s">
        <v>739</v>
      </c>
      <c r="I21" s="641" t="s">
        <v>740</v>
      </c>
    </row>
    <row r="22" spans="1:9">
      <c r="C22" s="642">
        <f>SUM(C2:C20)</f>
        <v>35010172661.675499</v>
      </c>
      <c r="D22" s="642">
        <f t="shared" ref="D22:F22" si="1">SUM(D2:D20)</f>
        <v>44084446788.458115</v>
      </c>
      <c r="E22" s="642">
        <f t="shared" si="1"/>
        <v>42229760760.02919</v>
      </c>
      <c r="F22" s="642">
        <f t="shared" si="1"/>
        <v>42114435462.558121</v>
      </c>
      <c r="G22" s="642">
        <f>SUM(C22:F22)</f>
        <v>163438815672.72092</v>
      </c>
      <c r="H22" s="642">
        <f>+'[3]Linea 1'!U54+'[3]Linea 2'!U105+'[3]Linea 3'!U201+'[3]Linea 4'!U74+'[3]Linea 5'!U28+'[3]Linea 6'!U2+'[3]Linea 7'!U13+'[3]Linea 8'!U27</f>
        <v>163438815672.72095</v>
      </c>
      <c r="I22" s="643">
        <f>+G22-H22</f>
        <v>0</v>
      </c>
    </row>
    <row r="24" spans="1:9">
      <c r="F24" s="644" t="s">
        <v>741</v>
      </c>
      <c r="G24" s="642">
        <v>163438815672.66632</v>
      </c>
      <c r="H24" s="631"/>
    </row>
    <row r="25" spans="1:9">
      <c r="H25" s="632"/>
      <c r="I25" s="632"/>
    </row>
    <row r="27" spans="1:9">
      <c r="E27" s="631"/>
    </row>
    <row r="28" spans="1:9">
      <c r="E28" s="632"/>
    </row>
    <row r="29" spans="1:9">
      <c r="E29" s="632"/>
    </row>
    <row r="30" spans="1:9">
      <c r="G30" s="632"/>
    </row>
    <row r="31" spans="1:9">
      <c r="G31" s="631"/>
    </row>
    <row r="32" spans="1:9">
      <c r="G32" s="631"/>
    </row>
    <row r="33" spans="7:7">
      <c r="G33" s="631"/>
    </row>
  </sheetData>
  <mergeCells count="15">
    <mergeCell ref="A2:A4"/>
    <mergeCell ref="H2:H4"/>
    <mergeCell ref="A5:A6"/>
    <mergeCell ref="H5:H6"/>
    <mergeCell ref="A7:A8"/>
    <mergeCell ref="H7:H8"/>
    <mergeCell ref="A18:A20"/>
    <mergeCell ref="G18:G19"/>
    <mergeCell ref="H18:H19"/>
    <mergeCell ref="A9:A12"/>
    <mergeCell ref="H9:H12"/>
    <mergeCell ref="A13:A14"/>
    <mergeCell ref="H13:H14"/>
    <mergeCell ref="A15:A16"/>
    <mergeCell ref="H15:H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F7E9-3AFA-412B-B0EC-A96686990E32}">
  <dimension ref="A2:AJ117"/>
  <sheetViews>
    <sheetView topLeftCell="A72" workbookViewId="0">
      <selection activeCell="C79" sqref="C79:C81"/>
    </sheetView>
  </sheetViews>
  <sheetFormatPr defaultColWidth="11" defaultRowHeight="15"/>
  <cols>
    <col min="1" max="1" width="51.125" customWidth="1"/>
    <col min="2" max="2" width="16.75" hidden="1" customWidth="1"/>
    <col min="3" max="3" width="35.625" customWidth="1"/>
    <col min="4" max="4" width="44" customWidth="1"/>
    <col min="5" max="5" width="30" customWidth="1"/>
  </cols>
  <sheetData>
    <row r="2" spans="1:5" ht="39" customHeight="1">
      <c r="A2" s="1024" t="s">
        <v>742</v>
      </c>
      <c r="B2" s="1025"/>
      <c r="C2" s="1025"/>
      <c r="D2" s="1025"/>
      <c r="E2" s="1025"/>
    </row>
    <row r="3" spans="1:5" ht="29.25" customHeight="1">
      <c r="A3" s="1023" t="s">
        <v>743</v>
      </c>
      <c r="B3" s="1023"/>
      <c r="C3" s="1023"/>
      <c r="D3" s="1023"/>
      <c r="E3" s="1023"/>
    </row>
    <row r="4" spans="1:5" ht="15.75">
      <c r="A4" s="362" t="s">
        <v>713</v>
      </c>
      <c r="B4" s="362" t="s">
        <v>744</v>
      </c>
      <c r="C4" s="362" t="s">
        <v>745</v>
      </c>
      <c r="D4" s="362" t="s">
        <v>746</v>
      </c>
      <c r="E4" s="362" t="s">
        <v>714</v>
      </c>
    </row>
    <row r="5" spans="1:5" ht="48.75" customHeight="1">
      <c r="A5" s="1033" t="s">
        <v>747</v>
      </c>
      <c r="B5" s="369" t="s">
        <v>67</v>
      </c>
      <c r="C5" s="1012" t="s">
        <v>66</v>
      </c>
      <c r="D5" s="728" t="s">
        <v>748</v>
      </c>
      <c r="E5" s="1034">
        <v>1736610479</v>
      </c>
    </row>
    <row r="6" spans="1:5" ht="30">
      <c r="A6" s="1033"/>
      <c r="B6" s="647"/>
      <c r="C6" s="1012"/>
      <c r="D6" s="728" t="s">
        <v>82</v>
      </c>
      <c r="E6" s="1034"/>
    </row>
    <row r="7" spans="1:5" ht="66" customHeight="1">
      <c r="A7" s="1012" t="s">
        <v>749</v>
      </c>
      <c r="B7" s="646"/>
      <c r="C7" s="1012" t="s">
        <v>88</v>
      </c>
      <c r="D7" s="728" t="s">
        <v>94</v>
      </c>
      <c r="E7" s="1006">
        <v>93243266.379999995</v>
      </c>
    </row>
    <row r="8" spans="1:5" ht="45">
      <c r="A8" s="1012"/>
      <c r="B8" s="646"/>
      <c r="C8" s="1012"/>
      <c r="D8" s="369" t="s">
        <v>750</v>
      </c>
      <c r="E8" s="1006"/>
    </row>
    <row r="9" spans="1:5" ht="45" customHeight="1">
      <c r="A9" s="1012" t="s">
        <v>751</v>
      </c>
      <c r="B9" s="646"/>
      <c r="C9" s="1012" t="s">
        <v>752</v>
      </c>
      <c r="D9" s="369" t="s">
        <v>753</v>
      </c>
      <c r="E9" s="1006">
        <f>CONSOLIDADO!C6</f>
        <v>108716667</v>
      </c>
    </row>
    <row r="10" spans="1:5" ht="30">
      <c r="A10" s="1012"/>
      <c r="B10" s="646"/>
      <c r="C10" s="1012"/>
      <c r="D10" s="369" t="s">
        <v>111</v>
      </c>
      <c r="E10" s="1006"/>
    </row>
    <row r="11" spans="1:5" ht="15.75">
      <c r="A11" s="367" t="s">
        <v>754</v>
      </c>
      <c r="B11" s="367"/>
      <c r="C11" s="367"/>
      <c r="D11" s="367"/>
      <c r="E11" s="368">
        <f>E9+E7+E5</f>
        <v>1938570412.3800001</v>
      </c>
    </row>
    <row r="15" spans="1:5" ht="33.75" customHeight="1">
      <c r="A15" s="1024" t="s">
        <v>742</v>
      </c>
      <c r="B15" s="1025"/>
      <c r="C15" s="1025"/>
      <c r="D15" s="1025"/>
      <c r="E15" s="1025"/>
    </row>
    <row r="16" spans="1:5">
      <c r="A16" s="1023" t="s">
        <v>755</v>
      </c>
      <c r="B16" s="1023"/>
      <c r="C16" s="1023"/>
      <c r="D16" s="1023"/>
      <c r="E16" s="1023"/>
    </row>
    <row r="17" spans="1:36" ht="15.75">
      <c r="A17" s="362" t="s">
        <v>713</v>
      </c>
      <c r="B17" s="362" t="s">
        <v>744</v>
      </c>
      <c r="C17" s="362" t="s">
        <v>745</v>
      </c>
      <c r="D17" s="362" t="s">
        <v>746</v>
      </c>
      <c r="E17" s="362" t="s">
        <v>714</v>
      </c>
    </row>
    <row r="18" spans="1:36" ht="90.75" customHeight="1">
      <c r="A18" s="1012" t="s">
        <v>239</v>
      </c>
      <c r="B18" s="369" t="s">
        <v>67</v>
      </c>
      <c r="C18" s="1012" t="s">
        <v>240</v>
      </c>
      <c r="D18" s="369" t="s">
        <v>245</v>
      </c>
      <c r="E18" s="1006">
        <v>66262878482.438004</v>
      </c>
    </row>
    <row r="19" spans="1:36" ht="30">
      <c r="A19" s="1012"/>
      <c r="B19" s="647"/>
      <c r="C19" s="1012"/>
      <c r="D19" s="369" t="s">
        <v>242</v>
      </c>
      <c r="E19" s="1006"/>
    </row>
    <row r="20" spans="1:36" ht="71.25" customHeight="1">
      <c r="A20" s="1012"/>
      <c r="B20" s="647"/>
      <c r="C20" s="1012"/>
      <c r="D20" s="369" t="s">
        <v>257</v>
      </c>
      <c r="E20" s="1006"/>
    </row>
    <row r="21" spans="1:36" ht="60.75" customHeight="1">
      <c r="A21" s="1019" t="s">
        <v>756</v>
      </c>
      <c r="B21" s="646"/>
      <c r="C21" s="1012" t="s">
        <v>289</v>
      </c>
      <c r="D21" s="369" t="s">
        <v>757</v>
      </c>
      <c r="E21" s="1006">
        <v>33707649030.882439</v>
      </c>
      <c r="H21" s="1276" t="s">
        <v>758</v>
      </c>
      <c r="AJ21" s="1276" t="s">
        <v>759</v>
      </c>
    </row>
    <row r="22" spans="1:36" ht="45">
      <c r="A22" s="1019"/>
      <c r="B22" s="646"/>
      <c r="C22" s="1012"/>
      <c r="D22" s="369" t="s">
        <v>304</v>
      </c>
      <c r="E22" s="1006"/>
    </row>
    <row r="23" spans="1:36" ht="26.25" customHeight="1">
      <c r="A23" s="1007" t="s">
        <v>682</v>
      </c>
      <c r="B23" s="1008"/>
      <c r="C23" s="1008"/>
      <c r="D23" s="1009"/>
      <c r="E23" s="726">
        <f>SUM(E18:E22)</f>
        <v>99970527513.320435</v>
      </c>
    </row>
    <row r="27" spans="1:36" ht="31.5" customHeight="1">
      <c r="A27" s="1030" t="s">
        <v>742</v>
      </c>
      <c r="B27" s="1031"/>
      <c r="C27" s="1031"/>
      <c r="D27" s="1031"/>
      <c r="E27" s="1031"/>
    </row>
    <row r="28" spans="1:36">
      <c r="A28" s="1032" t="s">
        <v>760</v>
      </c>
      <c r="B28" s="1032"/>
      <c r="C28" s="1032"/>
      <c r="D28" s="1032"/>
      <c r="E28" s="1032"/>
    </row>
    <row r="29" spans="1:36" ht="15.75">
      <c r="A29" s="362" t="s">
        <v>713</v>
      </c>
      <c r="B29" s="362" t="s">
        <v>744</v>
      </c>
      <c r="C29" s="362" t="s">
        <v>745</v>
      </c>
      <c r="D29" s="362" t="s">
        <v>746</v>
      </c>
      <c r="E29" s="362" t="s">
        <v>714</v>
      </c>
    </row>
    <row r="30" spans="1:36" ht="33" customHeight="1">
      <c r="A30" s="1012" t="s">
        <v>761</v>
      </c>
      <c r="B30" s="369" t="s">
        <v>67</v>
      </c>
      <c r="C30" s="1012" t="s">
        <v>119</v>
      </c>
      <c r="D30" s="389" t="s">
        <v>762</v>
      </c>
      <c r="E30" s="1006">
        <v>6214122164.9433002</v>
      </c>
    </row>
    <row r="31" spans="1:36" ht="45">
      <c r="A31" s="1012"/>
      <c r="B31" s="647"/>
      <c r="C31" s="1012"/>
      <c r="D31" s="389" t="s">
        <v>138</v>
      </c>
      <c r="E31" s="1006"/>
    </row>
    <row r="32" spans="1:36" ht="30">
      <c r="A32" s="1012"/>
      <c r="B32" s="647"/>
      <c r="C32" s="1012"/>
      <c r="D32" s="389" t="s">
        <v>151</v>
      </c>
      <c r="E32" s="1006"/>
    </row>
    <row r="33" spans="1:5" ht="30">
      <c r="A33" s="1012"/>
      <c r="B33" s="647"/>
      <c r="C33" s="1012"/>
      <c r="D33" s="389" t="s">
        <v>155</v>
      </c>
      <c r="E33" s="1006"/>
    </row>
    <row r="34" spans="1:5" ht="30">
      <c r="A34" s="1012"/>
      <c r="B34" s="647"/>
      <c r="C34" s="1012"/>
      <c r="D34" s="389" t="s">
        <v>164</v>
      </c>
      <c r="E34" s="1006"/>
    </row>
    <row r="35" spans="1:5" ht="30">
      <c r="A35" s="1012"/>
      <c r="B35" s="646"/>
      <c r="C35" s="1012"/>
      <c r="D35" s="389" t="s">
        <v>183</v>
      </c>
      <c r="E35" s="1006"/>
    </row>
    <row r="36" spans="1:5" ht="45">
      <c r="A36" s="1012" t="s">
        <v>763</v>
      </c>
      <c r="B36" s="646"/>
      <c r="C36" s="1012" t="s">
        <v>193</v>
      </c>
      <c r="D36" s="389" t="s">
        <v>764</v>
      </c>
      <c r="E36" s="1006">
        <v>72992873425.612</v>
      </c>
    </row>
    <row r="37" spans="1:5" ht="135">
      <c r="A37" s="1012"/>
      <c r="B37" s="646"/>
      <c r="C37" s="1012"/>
      <c r="D37" s="389" t="s">
        <v>205</v>
      </c>
      <c r="E37" s="1006"/>
    </row>
    <row r="38" spans="1:5" ht="30">
      <c r="A38" s="1012"/>
      <c r="B38" s="646"/>
      <c r="C38" s="1012"/>
      <c r="D38" s="369" t="s">
        <v>210</v>
      </c>
      <c r="E38" s="1006"/>
    </row>
    <row r="39" spans="1:5" ht="15.75">
      <c r="A39" s="1010" t="s">
        <v>754</v>
      </c>
      <c r="B39" s="1010"/>
      <c r="C39" s="1010"/>
      <c r="D39" s="1010"/>
      <c r="E39" s="368">
        <f>SUM(E30:E38)</f>
        <v>79206995590.555298</v>
      </c>
    </row>
    <row r="41" spans="1:5" ht="34.5" customHeight="1">
      <c r="A41" s="1024" t="s">
        <v>742</v>
      </c>
      <c r="B41" s="1025"/>
      <c r="C41" s="1025"/>
      <c r="D41" s="1025"/>
      <c r="E41" s="1025"/>
    </row>
    <row r="42" spans="1:5">
      <c r="A42" s="1023" t="s">
        <v>765</v>
      </c>
      <c r="B42" s="1023"/>
      <c r="C42" s="1023"/>
      <c r="D42" s="1023"/>
      <c r="E42" s="1023"/>
    </row>
    <row r="43" spans="1:5" ht="15.75">
      <c r="A43" s="362" t="s">
        <v>713</v>
      </c>
      <c r="B43" s="362" t="s">
        <v>744</v>
      </c>
      <c r="C43" s="362" t="s">
        <v>745</v>
      </c>
      <c r="D43" s="362" t="s">
        <v>746</v>
      </c>
      <c r="E43" s="362" t="s">
        <v>714</v>
      </c>
    </row>
    <row r="44" spans="1:5" ht="52.5" customHeight="1">
      <c r="A44" s="369" t="s">
        <v>766</v>
      </c>
      <c r="B44" s="369" t="s">
        <v>67</v>
      </c>
      <c r="C44" s="369" t="s">
        <v>317</v>
      </c>
      <c r="D44" s="389" t="s">
        <v>767</v>
      </c>
      <c r="E44" s="370">
        <v>0</v>
      </c>
    </row>
    <row r="45" spans="1:5" ht="30">
      <c r="A45" s="1012" t="s">
        <v>768</v>
      </c>
      <c r="B45" s="646"/>
      <c r="C45" s="1012" t="s">
        <v>325</v>
      </c>
      <c r="D45" s="389" t="s">
        <v>332</v>
      </c>
      <c r="E45" s="1006">
        <v>129828893.23999999</v>
      </c>
    </row>
    <row r="46" spans="1:5" ht="15.75">
      <c r="A46" s="1012"/>
      <c r="B46" s="646"/>
      <c r="C46" s="1012"/>
      <c r="D46" s="389" t="s">
        <v>769</v>
      </c>
      <c r="E46" s="1006"/>
    </row>
    <row r="47" spans="1:5" ht="30">
      <c r="A47" s="1012"/>
      <c r="B47" s="646"/>
      <c r="C47" s="1012"/>
      <c r="D47" s="389" t="s">
        <v>770</v>
      </c>
      <c r="E47" s="1006"/>
    </row>
    <row r="48" spans="1:5" ht="73.5" customHeight="1">
      <c r="A48" s="1019" t="s">
        <v>771</v>
      </c>
      <c r="B48" s="646"/>
      <c r="C48" s="1019" t="s">
        <v>346</v>
      </c>
      <c r="D48" s="389" t="s">
        <v>351</v>
      </c>
      <c r="E48" s="1014">
        <v>1934519057.5752001</v>
      </c>
    </row>
    <row r="49" spans="1:5" ht="30">
      <c r="A49" s="1019"/>
      <c r="B49" s="646"/>
      <c r="C49" s="1019"/>
      <c r="D49" s="389" t="s">
        <v>355</v>
      </c>
      <c r="E49" s="1014"/>
    </row>
    <row r="50" spans="1:5" ht="30">
      <c r="A50" s="1029"/>
      <c r="B50" s="646"/>
      <c r="C50" s="1029"/>
      <c r="D50" s="389" t="s">
        <v>772</v>
      </c>
      <c r="E50" s="1015"/>
    </row>
    <row r="51" spans="1:5" ht="15.75">
      <c r="A51" s="1018" t="s">
        <v>773</v>
      </c>
      <c r="B51" s="650"/>
      <c r="C51" s="1018" t="s">
        <v>366</v>
      </c>
      <c r="D51" s="645" t="s">
        <v>371</v>
      </c>
      <c r="E51" s="1013">
        <v>2217169405</v>
      </c>
    </row>
    <row r="52" spans="1:5" ht="30">
      <c r="A52" s="1019"/>
      <c r="B52" s="646"/>
      <c r="C52" s="1019"/>
      <c r="D52" s="389" t="s">
        <v>774</v>
      </c>
      <c r="E52" s="1014"/>
    </row>
    <row r="53" spans="1:5" ht="15.75">
      <c r="A53" s="1029"/>
      <c r="B53" s="646"/>
      <c r="C53" s="1029"/>
      <c r="D53" s="389" t="s">
        <v>378</v>
      </c>
      <c r="E53" s="1015"/>
    </row>
    <row r="54" spans="1:5" ht="15.75">
      <c r="A54" s="997" t="s">
        <v>754</v>
      </c>
      <c r="B54" s="998"/>
      <c r="C54" s="998"/>
      <c r="D54" s="999"/>
      <c r="E54" s="368">
        <f>SUM(E44:E51)</f>
        <v>4281517355.8151999</v>
      </c>
    </row>
    <row r="57" spans="1:5" ht="44.25" customHeight="1">
      <c r="A57" s="1024" t="s">
        <v>742</v>
      </c>
      <c r="B57" s="1025"/>
      <c r="C57" s="1025"/>
      <c r="D57" s="1025"/>
      <c r="E57" s="1025"/>
    </row>
    <row r="58" spans="1:5">
      <c r="A58" s="1023" t="s">
        <v>775</v>
      </c>
      <c r="B58" s="1023"/>
      <c r="C58" s="1023"/>
      <c r="D58" s="1023"/>
      <c r="E58" s="1023"/>
    </row>
    <row r="59" spans="1:5" ht="15.75">
      <c r="A59" s="362" t="s">
        <v>713</v>
      </c>
      <c r="B59" s="362" t="s">
        <v>744</v>
      </c>
      <c r="C59" s="362" t="s">
        <v>745</v>
      </c>
      <c r="D59" s="362" t="s">
        <v>746</v>
      </c>
      <c r="E59" s="362" t="s">
        <v>714</v>
      </c>
    </row>
    <row r="60" spans="1:5" ht="75">
      <c r="A60" s="1018" t="s">
        <v>776</v>
      </c>
      <c r="B60" s="369"/>
      <c r="C60" s="1018" t="s">
        <v>382</v>
      </c>
      <c r="D60" s="369" t="s">
        <v>777</v>
      </c>
      <c r="E60" s="1013">
        <v>246738977</v>
      </c>
    </row>
    <row r="61" spans="1:5" ht="75">
      <c r="A61" s="1019"/>
      <c r="B61" s="648"/>
      <c r="C61" s="1019"/>
      <c r="D61" s="369" t="s">
        <v>778</v>
      </c>
      <c r="E61" s="1014"/>
    </row>
    <row r="62" spans="1:5" ht="60">
      <c r="A62" s="1012" t="s">
        <v>779</v>
      </c>
      <c r="B62" s="649"/>
      <c r="C62" s="1012" t="s">
        <v>400</v>
      </c>
      <c r="D62" s="392" t="s">
        <v>780</v>
      </c>
      <c r="E62" s="1006">
        <v>172167854.16</v>
      </c>
    </row>
    <row r="63" spans="1:5" ht="45">
      <c r="A63" s="1012"/>
      <c r="B63" s="649"/>
      <c r="C63" s="1012"/>
      <c r="D63" s="369" t="s">
        <v>421</v>
      </c>
      <c r="E63" s="1006"/>
    </row>
    <row r="64" spans="1:5" ht="15.75">
      <c r="A64" s="997" t="s">
        <v>754</v>
      </c>
      <c r="B64" s="998"/>
      <c r="C64" s="998"/>
      <c r="D64" s="999"/>
      <c r="E64" s="368">
        <f>E60+E62</f>
        <v>418906831.15999997</v>
      </c>
    </row>
    <row r="68" spans="1:5" ht="35.25" customHeight="1">
      <c r="A68" s="1024" t="s">
        <v>742</v>
      </c>
      <c r="B68" s="1025"/>
      <c r="C68" s="1025"/>
      <c r="D68" s="1025"/>
      <c r="E68" s="1025"/>
    </row>
    <row r="69" spans="1:5">
      <c r="A69" s="1023" t="s">
        <v>781</v>
      </c>
      <c r="B69" s="1023"/>
      <c r="C69" s="1023"/>
      <c r="D69" s="1023"/>
      <c r="E69" s="1023"/>
    </row>
    <row r="70" spans="1:5" ht="15.75">
      <c r="A70" s="362" t="s">
        <v>713</v>
      </c>
      <c r="B70" s="362" t="s">
        <v>744</v>
      </c>
      <c r="C70" s="362" t="s">
        <v>745</v>
      </c>
      <c r="D70" s="362" t="s">
        <v>746</v>
      </c>
      <c r="E70" s="362" t="s">
        <v>714</v>
      </c>
    </row>
    <row r="71" spans="1:5" ht="102.75" customHeight="1">
      <c r="A71" s="608" t="s">
        <v>782</v>
      </c>
      <c r="B71" s="369"/>
      <c r="C71" s="608" t="s">
        <v>425</v>
      </c>
      <c r="D71" s="369" t="s">
        <v>430</v>
      </c>
      <c r="E71" s="375">
        <f>CONSOLIDADO!C17</f>
        <v>158201568</v>
      </c>
    </row>
    <row r="72" spans="1:5" ht="195.75">
      <c r="A72" s="369" t="s">
        <v>783</v>
      </c>
      <c r="B72" s="646"/>
      <c r="C72" s="647" t="s">
        <v>437</v>
      </c>
      <c r="D72" s="392" t="s">
        <v>442</v>
      </c>
      <c r="E72" s="370">
        <f>CONSOLIDADO!C18</f>
        <v>0</v>
      </c>
    </row>
    <row r="73" spans="1:5" ht="15.75">
      <c r="A73" s="997" t="s">
        <v>754</v>
      </c>
      <c r="B73" s="998"/>
      <c r="C73" s="998"/>
      <c r="D73" s="999"/>
      <c r="E73" s="368">
        <f>E71+E72</f>
        <v>158201568</v>
      </c>
    </row>
    <row r="76" spans="1:5" ht="42.75" customHeight="1">
      <c r="A76" s="1024" t="s">
        <v>742</v>
      </c>
      <c r="B76" s="1025"/>
      <c r="C76" s="1025"/>
      <c r="D76" s="1025"/>
      <c r="E76" s="1025"/>
    </row>
    <row r="77" spans="1:5">
      <c r="A77" s="1023" t="s">
        <v>784</v>
      </c>
      <c r="B77" s="1023"/>
      <c r="C77" s="1023"/>
      <c r="D77" s="1023"/>
      <c r="E77" s="1023"/>
    </row>
    <row r="78" spans="1:5" ht="15.75">
      <c r="A78" s="362" t="s">
        <v>713</v>
      </c>
      <c r="B78" s="362" t="s">
        <v>744</v>
      </c>
      <c r="C78" s="362" t="s">
        <v>745</v>
      </c>
      <c r="D78" s="362" t="s">
        <v>746</v>
      </c>
      <c r="E78" s="362" t="s">
        <v>714</v>
      </c>
    </row>
    <row r="79" spans="1:5" ht="60">
      <c r="A79" s="1016" t="s">
        <v>785</v>
      </c>
      <c r="B79" s="362"/>
      <c r="C79" s="1016" t="s">
        <v>448</v>
      </c>
      <c r="D79" s="364" t="s">
        <v>786</v>
      </c>
      <c r="E79" s="1026">
        <v>411853082</v>
      </c>
    </row>
    <row r="80" spans="1:5" ht="30">
      <c r="A80" s="1017"/>
      <c r="B80" s="362"/>
      <c r="C80" s="1017"/>
      <c r="D80" s="364" t="s">
        <v>787</v>
      </c>
      <c r="E80" s="1027"/>
    </row>
    <row r="81" spans="1:5" ht="75">
      <c r="A81" s="1017"/>
      <c r="B81" s="362"/>
      <c r="C81" s="1017"/>
      <c r="D81" s="364" t="s">
        <v>465</v>
      </c>
      <c r="E81" s="1028"/>
    </row>
    <row r="82" spans="1:5" ht="15.75">
      <c r="A82" s="997" t="s">
        <v>754</v>
      </c>
      <c r="B82" s="998"/>
      <c r="C82" s="998"/>
      <c r="D82" s="999"/>
      <c r="E82" s="368">
        <f>E79</f>
        <v>411853082</v>
      </c>
    </row>
    <row r="85" spans="1:5" ht="44.25" customHeight="1">
      <c r="A85" s="1024" t="s">
        <v>742</v>
      </c>
      <c r="B85" s="1025"/>
      <c r="C85" s="1025"/>
      <c r="D85" s="1025"/>
      <c r="E85" s="1025"/>
    </row>
    <row r="86" spans="1:5">
      <c r="A86" s="1023" t="s">
        <v>788</v>
      </c>
      <c r="B86" s="1023"/>
      <c r="C86" s="1023"/>
      <c r="D86" s="1023"/>
      <c r="E86" s="1023"/>
    </row>
    <row r="87" spans="1:5" ht="15.75">
      <c r="A87" s="362" t="s">
        <v>713</v>
      </c>
      <c r="B87" s="362" t="s">
        <v>744</v>
      </c>
      <c r="C87" s="362" t="s">
        <v>745</v>
      </c>
      <c r="D87" s="362" t="s">
        <v>746</v>
      </c>
      <c r="E87" s="362" t="s">
        <v>714</v>
      </c>
    </row>
    <row r="88" spans="1:5" ht="75.75" customHeight="1">
      <c r="A88" s="1011" t="s">
        <v>789</v>
      </c>
      <c r="B88" s="362"/>
      <c r="C88" s="1012" t="s">
        <v>472</v>
      </c>
      <c r="D88" s="369" t="s">
        <v>790</v>
      </c>
      <c r="E88" s="1013">
        <v>1013421037.6799999</v>
      </c>
    </row>
    <row r="89" spans="1:5" ht="60">
      <c r="A89" s="1011"/>
      <c r="B89" s="362"/>
      <c r="C89" s="1012"/>
      <c r="D89" s="369" t="s">
        <v>484</v>
      </c>
      <c r="E89" s="1014"/>
    </row>
    <row r="90" spans="1:5" ht="62.25" customHeight="1">
      <c r="A90" s="1016" t="s">
        <v>791</v>
      </c>
      <c r="B90" s="362"/>
      <c r="C90" s="1018" t="s">
        <v>792</v>
      </c>
      <c r="D90" s="369" t="s">
        <v>500</v>
      </c>
      <c r="E90" s="1014"/>
    </row>
    <row r="91" spans="1:5" ht="30">
      <c r="A91" s="1017"/>
      <c r="B91" s="362"/>
      <c r="C91" s="1019"/>
      <c r="D91" s="369" t="s">
        <v>507</v>
      </c>
      <c r="E91" s="1014"/>
    </row>
    <row r="92" spans="1:5" ht="45">
      <c r="A92" s="1017"/>
      <c r="B92" s="362"/>
      <c r="C92" s="1019"/>
      <c r="D92" s="369" t="s">
        <v>525</v>
      </c>
      <c r="E92" s="1014"/>
    </row>
    <row r="93" spans="1:5" ht="60.75" customHeight="1">
      <c r="A93" s="1020" t="s">
        <v>793</v>
      </c>
      <c r="B93" s="362"/>
      <c r="C93" s="1016" t="s">
        <v>545</v>
      </c>
      <c r="D93" s="369" t="s">
        <v>551</v>
      </c>
      <c r="E93" s="1014"/>
    </row>
    <row r="94" spans="1:5" ht="30">
      <c r="A94" s="1021"/>
      <c r="B94" s="362"/>
      <c r="C94" s="1022"/>
      <c r="D94" s="369" t="s">
        <v>794</v>
      </c>
      <c r="E94" s="1015"/>
    </row>
    <row r="95" spans="1:5" ht="15.75">
      <c r="A95" s="997" t="s">
        <v>754</v>
      </c>
      <c r="B95" s="998"/>
      <c r="C95" s="998"/>
      <c r="D95" s="999"/>
      <c r="E95" s="368">
        <f>E93+E90+E88</f>
        <v>1013421037.6799999</v>
      </c>
    </row>
    <row r="99" spans="1:5" ht="15" customHeight="1">
      <c r="A99" s="1000" t="s">
        <v>742</v>
      </c>
      <c r="B99" s="1001"/>
      <c r="C99" s="1002"/>
    </row>
    <row r="100" spans="1:5">
      <c r="A100" s="1003"/>
      <c r="B100" s="1004"/>
      <c r="C100" s="1005"/>
    </row>
    <row r="101" spans="1:5">
      <c r="A101" s="227" t="s">
        <v>795</v>
      </c>
      <c r="B101" s="227"/>
      <c r="C101" s="227" t="s">
        <v>714</v>
      </c>
    </row>
    <row r="102" spans="1:5" ht="30">
      <c r="A102" s="382" t="s">
        <v>796</v>
      </c>
      <c r="B102" s="651"/>
      <c r="C102" s="381">
        <f>E11</f>
        <v>1938570412.3800001</v>
      </c>
    </row>
    <row r="103" spans="1:5" ht="30">
      <c r="A103" s="382" t="s">
        <v>698</v>
      </c>
      <c r="B103" s="651"/>
      <c r="C103" s="381">
        <f>E39</f>
        <v>79206995590.555298</v>
      </c>
    </row>
    <row r="104" spans="1:5" ht="23.25" customHeight="1">
      <c r="A104" s="382" t="s">
        <v>699</v>
      </c>
      <c r="B104" s="651"/>
      <c r="C104" s="381">
        <f>E23</f>
        <v>99970527513.320435</v>
      </c>
    </row>
    <row r="105" spans="1:5">
      <c r="A105" s="382" t="s">
        <v>700</v>
      </c>
      <c r="B105" s="651"/>
      <c r="C105" s="381">
        <f>E54</f>
        <v>4281517355.8151999</v>
      </c>
    </row>
    <row r="106" spans="1:5" ht="30">
      <c r="A106" s="382" t="s">
        <v>701</v>
      </c>
      <c r="B106" s="651"/>
      <c r="C106" s="381">
        <f>E64</f>
        <v>418906831.15999997</v>
      </c>
    </row>
    <row r="107" spans="1:5">
      <c r="A107" s="382" t="s">
        <v>702</v>
      </c>
      <c r="B107" s="651"/>
      <c r="C107" s="381">
        <f>E73</f>
        <v>158201568</v>
      </c>
    </row>
    <row r="108" spans="1:5" ht="30">
      <c r="A108" s="382" t="s">
        <v>703</v>
      </c>
      <c r="B108" s="651"/>
      <c r="C108" s="381">
        <f>E82</f>
        <v>411853082</v>
      </c>
    </row>
    <row r="109" spans="1:5" ht="30">
      <c r="A109" s="382" t="s">
        <v>704</v>
      </c>
      <c r="B109" s="651"/>
      <c r="C109" s="381">
        <f>E95</f>
        <v>1013421037.6799999</v>
      </c>
    </row>
    <row r="110" spans="1:5" ht="18" customHeight="1">
      <c r="A110" s="723" t="s">
        <v>682</v>
      </c>
      <c r="B110" s="727"/>
      <c r="C110" s="726">
        <f>SUM(C102:C109)</f>
        <v>187399993390.91092</v>
      </c>
      <c r="D110" s="328"/>
      <c r="E110" s="12">
        <v>163438815672.72095</v>
      </c>
    </row>
    <row r="112" spans="1:5">
      <c r="D112" s="328">
        <f>C110-E110</f>
        <v>23961177718.189972</v>
      </c>
    </row>
    <row r="114" spans="3:4">
      <c r="D114" s="379"/>
    </row>
    <row r="117" spans="3:4">
      <c r="C117" s="378">
        <v>154210833597</v>
      </c>
    </row>
  </sheetData>
  <mergeCells count="70">
    <mergeCell ref="A7:A8"/>
    <mergeCell ref="C7:C8"/>
    <mergeCell ref="E7:E8"/>
    <mergeCell ref="A2:E2"/>
    <mergeCell ref="A3:E3"/>
    <mergeCell ref="A5:A6"/>
    <mergeCell ref="C5:C6"/>
    <mergeCell ref="E5:E6"/>
    <mergeCell ref="A36:A38"/>
    <mergeCell ref="C36:C38"/>
    <mergeCell ref="E36:E38"/>
    <mergeCell ref="A9:A10"/>
    <mergeCell ref="C9:C10"/>
    <mergeCell ref="E9:E10"/>
    <mergeCell ref="A15:E15"/>
    <mergeCell ref="A16:E16"/>
    <mergeCell ref="A18:A20"/>
    <mergeCell ref="C18:C20"/>
    <mergeCell ref="A21:A22"/>
    <mergeCell ref="C21:C22"/>
    <mergeCell ref="A27:E27"/>
    <mergeCell ref="A28:E28"/>
    <mergeCell ref="A30:A35"/>
    <mergeCell ref="C30:C35"/>
    <mergeCell ref="E30:E35"/>
    <mergeCell ref="A60:A61"/>
    <mergeCell ref="C60:C61"/>
    <mergeCell ref="E60:E61"/>
    <mergeCell ref="A41:E41"/>
    <mergeCell ref="A42:E42"/>
    <mergeCell ref="A45:A47"/>
    <mergeCell ref="C45:C47"/>
    <mergeCell ref="E45:E47"/>
    <mergeCell ref="A48:A50"/>
    <mergeCell ref="C48:C50"/>
    <mergeCell ref="E48:E50"/>
    <mergeCell ref="A51:A53"/>
    <mergeCell ref="C51:C53"/>
    <mergeCell ref="E51:E53"/>
    <mergeCell ref="A57:E57"/>
    <mergeCell ref="A58:E58"/>
    <mergeCell ref="A86:E86"/>
    <mergeCell ref="A82:D82"/>
    <mergeCell ref="A62:A63"/>
    <mergeCell ref="C62:C63"/>
    <mergeCell ref="E62:E63"/>
    <mergeCell ref="A68:E68"/>
    <mergeCell ref="A69:E69"/>
    <mergeCell ref="A76:E76"/>
    <mergeCell ref="A77:E77"/>
    <mergeCell ref="A79:A81"/>
    <mergeCell ref="C79:C81"/>
    <mergeCell ref="E79:E81"/>
    <mergeCell ref="A85:E85"/>
    <mergeCell ref="A95:D95"/>
    <mergeCell ref="A99:C100"/>
    <mergeCell ref="E18:E20"/>
    <mergeCell ref="E21:E22"/>
    <mergeCell ref="A23:D23"/>
    <mergeCell ref="A39:D39"/>
    <mergeCell ref="A54:D54"/>
    <mergeCell ref="A64:D64"/>
    <mergeCell ref="A73:D73"/>
    <mergeCell ref="A88:A89"/>
    <mergeCell ref="C88:C89"/>
    <mergeCell ref="E88:E94"/>
    <mergeCell ref="A90:A92"/>
    <mergeCell ref="C90:C92"/>
    <mergeCell ref="A93:A94"/>
    <mergeCell ref="C93:C94"/>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25EC-FE46-4182-A4DB-ED7E965C78A6}">
  <dimension ref="A2:AK112"/>
  <sheetViews>
    <sheetView topLeftCell="A23" workbookViewId="0">
      <selection activeCell="E43" sqref="E43"/>
    </sheetView>
  </sheetViews>
  <sheetFormatPr defaultColWidth="11" defaultRowHeight="15"/>
  <cols>
    <col min="1" max="1" width="22.25" customWidth="1"/>
    <col min="2" max="3" width="19.125" customWidth="1"/>
    <col min="4" max="4" width="18.125" customWidth="1"/>
    <col min="5" max="5" width="23.125" customWidth="1"/>
    <col min="6" max="6" width="22" customWidth="1"/>
    <col min="7" max="7" width="25.375" customWidth="1"/>
    <col min="8" max="8" width="22.375" customWidth="1"/>
    <col min="9" max="9" width="16.125" customWidth="1"/>
    <col min="10" max="10" width="26.625" customWidth="1"/>
    <col min="11" max="11" width="28.875" customWidth="1"/>
    <col min="12" max="12" width="25.125" customWidth="1"/>
    <col min="13" max="13" width="21.875" customWidth="1"/>
    <col min="14" max="14" width="22.875" customWidth="1"/>
    <col min="15" max="15" width="27.75" customWidth="1"/>
    <col min="16" max="16" width="15.625" customWidth="1"/>
    <col min="17" max="17" width="15.125" customWidth="1"/>
    <col min="18" max="19" width="16.125" customWidth="1"/>
    <col min="20" max="20" width="16.25" customWidth="1"/>
    <col min="21" max="21" width="25.75" customWidth="1"/>
    <col min="22" max="22" width="22.125" customWidth="1"/>
    <col min="23" max="23" width="18" customWidth="1"/>
    <col min="24" max="24" width="27.625" customWidth="1"/>
    <col min="25" max="25" width="16.75" customWidth="1"/>
    <col min="26" max="26" width="18.125" customWidth="1"/>
    <col min="27" max="34" width="16.375" customWidth="1"/>
    <col min="35" max="35" width="19.375" customWidth="1"/>
    <col min="36" max="36" width="22.375" customWidth="1"/>
    <col min="37" max="37" width="17.875" customWidth="1"/>
    <col min="38" max="38" width="15.875" customWidth="1"/>
  </cols>
  <sheetData>
    <row r="2" spans="1:37" ht="15" customHeight="1">
      <c r="A2" s="1045" t="s">
        <v>797</v>
      </c>
      <c r="B2" s="1046"/>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c r="AG2" s="1046"/>
      <c r="AH2" s="1046"/>
      <c r="AI2" s="1046"/>
      <c r="AJ2" s="1046"/>
      <c r="AK2" s="1046"/>
    </row>
    <row r="3" spans="1:37" ht="15" customHeight="1">
      <c r="A3" s="1047"/>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c r="AG3" s="1048"/>
      <c r="AH3" s="1048"/>
      <c r="AI3" s="1048"/>
      <c r="AJ3" s="1048"/>
      <c r="AK3" s="1048"/>
    </row>
    <row r="4" spans="1:37" ht="30" customHeight="1">
      <c r="A4" s="932" t="s">
        <v>618</v>
      </c>
      <c r="B4" s="932"/>
      <c r="C4" s="932"/>
      <c r="D4" s="932"/>
      <c r="E4" s="932"/>
      <c r="F4" s="932"/>
      <c r="G4" s="932"/>
      <c r="H4" s="932"/>
      <c r="I4" s="932"/>
      <c r="J4" s="932"/>
      <c r="K4" s="933" t="s">
        <v>619</v>
      </c>
      <c r="L4" s="933"/>
      <c r="M4" s="933"/>
      <c r="N4" s="933"/>
      <c r="O4" s="933"/>
      <c r="P4" s="933"/>
      <c r="Q4" s="933"/>
      <c r="R4" s="1049" t="s">
        <v>620</v>
      </c>
      <c r="S4" s="934" t="s">
        <v>621</v>
      </c>
      <c r="T4" s="934" t="s">
        <v>622</v>
      </c>
      <c r="U4" s="1050" t="s">
        <v>623</v>
      </c>
      <c r="V4" s="1051"/>
      <c r="W4" s="1051"/>
      <c r="X4" s="1051"/>
      <c r="Y4" s="1051"/>
      <c r="Z4" s="1051"/>
      <c r="AA4" s="1052"/>
      <c r="AB4" s="1053" t="s">
        <v>624</v>
      </c>
      <c r="AC4" s="1054"/>
      <c r="AD4" s="1054"/>
      <c r="AE4" s="1054"/>
      <c r="AF4" s="1054"/>
      <c r="AG4" s="1054"/>
      <c r="AH4" s="1055"/>
      <c r="AI4" s="812" t="s">
        <v>625</v>
      </c>
      <c r="AJ4" s="812" t="s">
        <v>626</v>
      </c>
      <c r="AK4" s="812" t="s">
        <v>627</v>
      </c>
    </row>
    <row r="5" spans="1:37">
      <c r="A5" s="940" t="s">
        <v>632</v>
      </c>
      <c r="B5" s="941" t="s">
        <v>633</v>
      </c>
      <c r="C5" s="941" t="s">
        <v>634</v>
      </c>
      <c r="D5" s="941" t="s">
        <v>635</v>
      </c>
      <c r="E5" s="941" t="s">
        <v>636</v>
      </c>
      <c r="F5" s="941" t="s">
        <v>637</v>
      </c>
      <c r="G5" s="941" t="s">
        <v>638</v>
      </c>
      <c r="H5" s="941" t="s">
        <v>639</v>
      </c>
      <c r="I5" s="941" t="s">
        <v>640</v>
      </c>
      <c r="J5" s="940" t="s">
        <v>641</v>
      </c>
      <c r="K5" s="939" t="s">
        <v>642</v>
      </c>
      <c r="L5" s="939" t="s">
        <v>643</v>
      </c>
      <c r="M5" s="939" t="s">
        <v>636</v>
      </c>
      <c r="N5" s="939" t="s">
        <v>644</v>
      </c>
      <c r="O5" s="939" t="s">
        <v>638</v>
      </c>
      <c r="P5" s="939" t="s">
        <v>639</v>
      </c>
      <c r="Q5" s="939" t="s">
        <v>640</v>
      </c>
      <c r="R5" s="1049"/>
      <c r="S5" s="934"/>
      <c r="T5" s="934"/>
      <c r="U5" s="942" t="s">
        <v>645</v>
      </c>
      <c r="V5" s="942" t="s">
        <v>646</v>
      </c>
      <c r="W5" s="942" t="s">
        <v>636</v>
      </c>
      <c r="X5" s="942" t="s">
        <v>647</v>
      </c>
      <c r="Y5" s="1037" t="s">
        <v>638</v>
      </c>
      <c r="Z5" s="1037" t="s">
        <v>639</v>
      </c>
      <c r="AA5" s="1037" t="s">
        <v>640</v>
      </c>
      <c r="AB5" s="937" t="s">
        <v>648</v>
      </c>
      <c r="AC5" s="937" t="s">
        <v>649</v>
      </c>
      <c r="AD5" s="937" t="s">
        <v>636</v>
      </c>
      <c r="AE5" s="937" t="s">
        <v>650</v>
      </c>
      <c r="AF5" s="1035" t="s">
        <v>638</v>
      </c>
      <c r="AG5" s="1035" t="s">
        <v>639</v>
      </c>
      <c r="AH5" s="1035" t="s">
        <v>640</v>
      </c>
      <c r="AI5" s="812"/>
      <c r="AJ5" s="812"/>
      <c r="AK5" s="812"/>
    </row>
    <row r="6" spans="1:37" ht="60.75" customHeight="1">
      <c r="A6" s="940"/>
      <c r="B6" s="941"/>
      <c r="C6" s="941"/>
      <c r="D6" s="941"/>
      <c r="E6" s="941"/>
      <c r="F6" s="941"/>
      <c r="G6" s="941"/>
      <c r="H6" s="941"/>
      <c r="I6" s="941"/>
      <c r="J6" s="940"/>
      <c r="K6" s="939"/>
      <c r="L6" s="939"/>
      <c r="M6" s="939"/>
      <c r="N6" s="939"/>
      <c r="O6" s="939"/>
      <c r="P6" s="939"/>
      <c r="Q6" s="939"/>
      <c r="R6" s="1049"/>
      <c r="S6" s="934"/>
      <c r="T6" s="934"/>
      <c r="U6" s="942"/>
      <c r="V6" s="942"/>
      <c r="W6" s="942"/>
      <c r="X6" s="942"/>
      <c r="Y6" s="1038"/>
      <c r="Z6" s="1038"/>
      <c r="AA6" s="1038"/>
      <c r="AB6" s="937"/>
      <c r="AC6" s="937"/>
      <c r="AD6" s="937"/>
      <c r="AE6" s="937"/>
      <c r="AF6" s="1036"/>
      <c r="AG6" s="1036"/>
      <c r="AH6" s="1036"/>
      <c r="AI6" s="812"/>
      <c r="AJ6" s="812"/>
      <c r="AK6" s="812"/>
    </row>
    <row r="7" spans="1:37">
      <c r="A7" s="548" t="s">
        <v>651</v>
      </c>
      <c r="B7" s="549">
        <f>B9+B10</f>
        <v>39</v>
      </c>
      <c r="C7" s="549">
        <f>C8+C9+C10</f>
        <v>8</v>
      </c>
      <c r="D7" s="549">
        <f>D8+D9+D10</f>
        <v>7</v>
      </c>
      <c r="E7" s="550">
        <f>D7/B7*100%</f>
        <v>0.17948717948717949</v>
      </c>
      <c r="F7" s="550">
        <f>AVERAGE(F8,F9,F10)</f>
        <v>0.58333333333333337</v>
      </c>
      <c r="G7" s="551">
        <f>G8+G9+G10</f>
        <v>876375074</v>
      </c>
      <c r="H7" s="551"/>
      <c r="I7" s="552">
        <f>H7/G7*100%</f>
        <v>0</v>
      </c>
      <c r="J7" s="557"/>
      <c r="K7" s="549"/>
      <c r="L7" s="549"/>
      <c r="M7" s="550"/>
      <c r="N7" s="550"/>
      <c r="O7" s="551"/>
      <c r="P7" s="551"/>
      <c r="Q7" s="552"/>
      <c r="R7" s="552"/>
      <c r="S7" s="552"/>
      <c r="T7" s="554"/>
      <c r="U7" s="549"/>
      <c r="V7" s="549"/>
      <c r="W7" s="550"/>
      <c r="X7" s="550"/>
      <c r="Y7" s="551"/>
      <c r="Z7" s="551"/>
      <c r="AA7" s="552"/>
      <c r="AB7" s="561"/>
      <c r="AC7" s="561"/>
      <c r="AD7" s="552"/>
      <c r="AE7" s="552"/>
      <c r="AF7" s="552"/>
      <c r="AG7" s="552"/>
      <c r="AH7" s="552"/>
      <c r="AI7" s="552"/>
      <c r="AJ7" s="552"/>
      <c r="AK7" s="554"/>
    </row>
    <row r="8" spans="1:37">
      <c r="A8" s="517" t="s">
        <v>581</v>
      </c>
      <c r="B8" s="398">
        <v>10</v>
      </c>
      <c r="C8" s="398">
        <v>0</v>
      </c>
      <c r="D8" s="398">
        <v>0</v>
      </c>
      <c r="E8" s="401">
        <f>D8/B8*100</f>
        <v>0</v>
      </c>
      <c r="F8" s="513">
        <v>0</v>
      </c>
      <c r="G8" s="514">
        <v>648375074</v>
      </c>
      <c r="H8" s="514"/>
      <c r="I8" s="401">
        <f>H8/G8*100%</f>
        <v>0</v>
      </c>
      <c r="J8" s="397"/>
      <c r="K8" s="398"/>
      <c r="L8" s="398"/>
      <c r="M8" s="401"/>
      <c r="N8" s="513"/>
      <c r="O8" s="514"/>
      <c r="P8" s="514"/>
      <c r="Q8" s="401"/>
      <c r="R8" s="515"/>
      <c r="S8" s="515"/>
      <c r="T8" s="503"/>
      <c r="U8" s="398"/>
      <c r="V8" s="398"/>
      <c r="W8" s="401"/>
      <c r="X8" s="513"/>
      <c r="Y8" s="514"/>
      <c r="Z8" s="514"/>
      <c r="AA8" s="401"/>
      <c r="AB8" s="403"/>
      <c r="AC8" s="403"/>
      <c r="AD8" s="401"/>
      <c r="AE8" s="401"/>
      <c r="AF8" s="401"/>
      <c r="AG8" s="401"/>
      <c r="AH8" s="401"/>
      <c r="AI8" s="515"/>
      <c r="AJ8" s="515"/>
      <c r="AK8" s="396"/>
    </row>
    <row r="9" spans="1:37">
      <c r="A9" s="517" t="s">
        <v>582</v>
      </c>
      <c r="B9" s="398">
        <v>23</v>
      </c>
      <c r="C9" s="398">
        <v>4</v>
      </c>
      <c r="D9" s="398">
        <v>4</v>
      </c>
      <c r="E9" s="401">
        <f>D9/B9*100%</f>
        <v>0.17391304347826086</v>
      </c>
      <c r="F9" s="540">
        <f t="shared" ref="F9:F10" si="0">D9/C9*100%</f>
        <v>1</v>
      </c>
      <c r="G9" s="514">
        <v>114000000</v>
      </c>
      <c r="H9" s="514"/>
      <c r="I9" s="401">
        <f t="shared" ref="I9:I10" si="1">H9/G9*100%</f>
        <v>0</v>
      </c>
      <c r="J9" s="397"/>
      <c r="K9" s="398"/>
      <c r="L9" s="398"/>
      <c r="M9" s="401"/>
      <c r="N9" s="513"/>
      <c r="O9" s="514"/>
      <c r="P9" s="514"/>
      <c r="Q9" s="401"/>
      <c r="R9" s="515"/>
      <c r="S9" s="515"/>
      <c r="T9" s="503"/>
      <c r="U9" s="398"/>
      <c r="V9" s="398"/>
      <c r="W9" s="401"/>
      <c r="X9" s="513"/>
      <c r="Y9" s="514"/>
      <c r="Z9" s="514"/>
      <c r="AA9" s="401"/>
      <c r="AB9" s="403"/>
      <c r="AC9" s="403"/>
      <c r="AD9" s="401"/>
      <c r="AE9" s="401"/>
      <c r="AF9" s="401"/>
      <c r="AG9" s="401"/>
      <c r="AH9" s="401"/>
      <c r="AI9" s="515"/>
      <c r="AJ9" s="515"/>
      <c r="AK9" s="396"/>
    </row>
    <row r="10" spans="1:37">
      <c r="A10" s="517" t="s">
        <v>583</v>
      </c>
      <c r="B10" s="398">
        <v>16</v>
      </c>
      <c r="C10" s="398">
        <v>4</v>
      </c>
      <c r="D10" s="398">
        <v>3</v>
      </c>
      <c r="E10" s="401">
        <f>D10/B10*100%</f>
        <v>0.1875</v>
      </c>
      <c r="F10" s="540">
        <f t="shared" si="0"/>
        <v>0.75</v>
      </c>
      <c r="G10" s="514">
        <v>114000000</v>
      </c>
      <c r="H10" s="514"/>
      <c r="I10" s="401">
        <f t="shared" si="1"/>
        <v>0</v>
      </c>
      <c r="J10" s="397"/>
      <c r="K10" s="398"/>
      <c r="L10" s="398"/>
      <c r="M10" s="401"/>
      <c r="N10" s="513"/>
      <c r="O10" s="514"/>
      <c r="P10" s="516"/>
      <c r="Q10" s="401"/>
      <c r="R10" s="515"/>
      <c r="S10" s="515"/>
      <c r="T10" s="503"/>
      <c r="U10" s="398"/>
      <c r="V10" s="398"/>
      <c r="W10" s="401"/>
      <c r="X10" s="513"/>
      <c r="Y10" s="514"/>
      <c r="Z10" s="516"/>
      <c r="AA10" s="401"/>
      <c r="AB10" s="403"/>
      <c r="AC10" s="403"/>
      <c r="AD10" s="401"/>
      <c r="AE10" s="401"/>
      <c r="AF10" s="401"/>
      <c r="AG10" s="401"/>
      <c r="AH10" s="401"/>
      <c r="AI10" s="515"/>
      <c r="AJ10" s="515"/>
      <c r="AK10" s="396"/>
    </row>
    <row r="11" spans="1:37">
      <c r="A11" s="517"/>
      <c r="B11" s="517"/>
      <c r="C11" s="517"/>
      <c r="D11" s="517"/>
      <c r="E11" s="517"/>
      <c r="F11" s="541"/>
      <c r="G11" s="503"/>
      <c r="H11" s="503"/>
      <c r="I11" s="519"/>
      <c r="J11" s="517"/>
      <c r="K11" s="517"/>
      <c r="L11" s="517"/>
      <c r="M11" s="517"/>
      <c r="N11" s="517"/>
      <c r="O11" s="517"/>
      <c r="P11" s="518"/>
      <c r="Q11" s="518"/>
      <c r="R11" s="503"/>
      <c r="S11" s="503"/>
      <c r="T11" s="503"/>
      <c r="U11" s="517"/>
      <c r="V11" s="517"/>
      <c r="W11" s="517"/>
      <c r="X11" s="517"/>
      <c r="Y11" s="517"/>
      <c r="Z11" s="518"/>
      <c r="AA11" s="518"/>
      <c r="AB11" s="519"/>
      <c r="AC11" s="519"/>
      <c r="AD11" s="519"/>
      <c r="AE11" s="519"/>
      <c r="AF11" s="519"/>
      <c r="AG11" s="519"/>
      <c r="AH11" s="519"/>
      <c r="AI11" s="519"/>
      <c r="AJ11" s="519"/>
      <c r="AK11" s="396"/>
    </row>
    <row r="12" spans="1:37">
      <c r="A12" s="548" t="s">
        <v>652</v>
      </c>
      <c r="B12" s="562">
        <f>B13+B14</f>
        <v>765</v>
      </c>
      <c r="C12" s="562">
        <f t="shared" ref="C12:D12" si="2">C13+C14</f>
        <v>200</v>
      </c>
      <c r="D12" s="562">
        <f t="shared" si="2"/>
        <v>193</v>
      </c>
      <c r="E12" s="550">
        <f>D12/B12*100%</f>
        <v>0.2522875816993464</v>
      </c>
      <c r="F12" s="556">
        <f>AVERAGE(F13,F14)</f>
        <v>0.97878787878787876</v>
      </c>
      <c r="G12" s="551">
        <f>G13+G14</f>
        <v>59599968609</v>
      </c>
      <c r="H12" s="551"/>
      <c r="I12" s="552">
        <f>H12/G12*100%</f>
        <v>0</v>
      </c>
      <c r="J12" s="557"/>
      <c r="K12" s="561"/>
      <c r="L12" s="561"/>
      <c r="M12" s="550"/>
      <c r="N12" s="550"/>
      <c r="O12" s="551"/>
      <c r="P12" s="551"/>
      <c r="Q12" s="552"/>
      <c r="R12" s="552"/>
      <c r="S12" s="552"/>
      <c r="T12" s="554"/>
      <c r="U12" s="561"/>
      <c r="V12" s="561"/>
      <c r="W12" s="550"/>
      <c r="X12" s="550"/>
      <c r="Y12" s="551"/>
      <c r="Z12" s="551"/>
      <c r="AA12" s="552"/>
      <c r="AB12" s="561"/>
      <c r="AC12" s="561"/>
      <c r="AD12" s="552"/>
      <c r="AE12" s="552"/>
      <c r="AF12" s="552"/>
      <c r="AG12" s="552"/>
      <c r="AH12" s="552"/>
      <c r="AI12" s="552"/>
      <c r="AJ12" s="552"/>
      <c r="AK12" s="554"/>
    </row>
    <row r="13" spans="1:37">
      <c r="A13" s="517" t="s">
        <v>581</v>
      </c>
      <c r="B13" s="398">
        <v>656</v>
      </c>
      <c r="C13" s="398">
        <v>165</v>
      </c>
      <c r="D13" s="398">
        <v>158</v>
      </c>
      <c r="E13" s="401">
        <f>D13/B13*100%</f>
        <v>0.24085365853658536</v>
      </c>
      <c r="F13" s="540">
        <f>D13/C13*100%</f>
        <v>0.95757575757575752</v>
      </c>
      <c r="G13" s="514">
        <v>3136460946</v>
      </c>
      <c r="H13" s="514"/>
      <c r="I13" s="401">
        <f>H13/G13*100%</f>
        <v>0</v>
      </c>
      <c r="J13" s="397"/>
      <c r="K13" s="398"/>
      <c r="L13" s="398"/>
      <c r="M13" s="401"/>
      <c r="N13" s="540"/>
      <c r="O13" s="514"/>
      <c r="P13" s="514"/>
      <c r="Q13" s="525"/>
      <c r="R13" s="513"/>
      <c r="S13" s="513"/>
      <c r="T13" s="503"/>
      <c r="U13" s="398"/>
      <c r="V13" s="398"/>
      <c r="W13" s="401"/>
      <c r="X13" s="513"/>
      <c r="Y13" s="516"/>
      <c r="Z13" s="516"/>
      <c r="AA13" s="401"/>
      <c r="AB13" s="403"/>
      <c r="AC13" s="404"/>
      <c r="AD13" s="401"/>
      <c r="AE13" s="401"/>
      <c r="AF13" s="401"/>
      <c r="AG13" s="401"/>
      <c r="AH13" s="401"/>
      <c r="AI13" s="513"/>
      <c r="AJ13" s="513"/>
      <c r="AK13" s="396"/>
    </row>
    <row r="14" spans="1:37">
      <c r="A14" s="517" t="s">
        <v>582</v>
      </c>
      <c r="B14" s="398">
        <v>109</v>
      </c>
      <c r="C14" s="398">
        <v>35</v>
      </c>
      <c r="D14" s="398">
        <v>35</v>
      </c>
      <c r="E14" s="401">
        <f>D14/B14*100%</f>
        <v>0.32110091743119268</v>
      </c>
      <c r="F14" s="540">
        <f>D14/C14*100%</f>
        <v>1</v>
      </c>
      <c r="G14" s="514">
        <v>56463507663</v>
      </c>
      <c r="H14" s="514"/>
      <c r="I14" s="401">
        <f>H14/G14*100%</f>
        <v>0</v>
      </c>
      <c r="J14" s="397"/>
      <c r="K14" s="398"/>
      <c r="L14" s="398"/>
      <c r="M14" s="401"/>
      <c r="N14" s="540"/>
      <c r="O14" s="514"/>
      <c r="P14" s="514"/>
      <c r="Q14" s="525"/>
      <c r="R14" s="513"/>
      <c r="S14" s="513"/>
      <c r="T14" s="503"/>
      <c r="U14" s="398"/>
      <c r="V14" s="398"/>
      <c r="W14" s="401"/>
      <c r="X14" s="513"/>
      <c r="Y14" s="520"/>
      <c r="Z14" s="520"/>
      <c r="AA14" s="401"/>
      <c r="AB14" s="403"/>
      <c r="AC14" s="403"/>
      <c r="AD14" s="401"/>
      <c r="AE14" s="401"/>
      <c r="AF14" s="401"/>
      <c r="AG14" s="401"/>
      <c r="AH14" s="401"/>
      <c r="AI14" s="513"/>
      <c r="AJ14" s="513"/>
      <c r="AK14" s="396"/>
    </row>
    <row r="15" spans="1:37">
      <c r="A15" s="517"/>
      <c r="B15" s="517"/>
      <c r="C15" s="517"/>
      <c r="D15" s="517"/>
      <c r="E15" s="517"/>
      <c r="F15" s="541"/>
      <c r="G15" s="503"/>
      <c r="H15" s="503"/>
      <c r="I15" s="524"/>
      <c r="J15" s="517"/>
      <c r="K15" s="517"/>
      <c r="L15" s="517"/>
      <c r="M15" s="517"/>
      <c r="N15" s="541"/>
      <c r="O15" s="503"/>
      <c r="P15" s="503"/>
      <c r="Q15" s="524"/>
      <c r="R15" s="517"/>
      <c r="S15" s="517"/>
      <c r="T15" s="503"/>
      <c r="U15" s="517"/>
      <c r="V15" s="517"/>
      <c r="W15" s="517"/>
      <c r="X15" s="517"/>
      <c r="Y15" s="518"/>
      <c r="Z15" s="518"/>
      <c r="AA15" s="517"/>
      <c r="AB15" s="517"/>
      <c r="AC15" s="517"/>
      <c r="AD15" s="517"/>
      <c r="AE15" s="517"/>
      <c r="AF15" s="517"/>
      <c r="AG15" s="517"/>
      <c r="AH15" s="517"/>
      <c r="AI15" s="517"/>
      <c r="AJ15" s="517"/>
      <c r="AK15" s="396"/>
    </row>
    <row r="16" spans="1:37">
      <c r="A16" s="548" t="s">
        <v>653</v>
      </c>
      <c r="B16" s="562">
        <f>B17+B18</f>
        <v>7646</v>
      </c>
      <c r="C16" s="562">
        <f t="shared" ref="C16:D16" si="3">C17+C18</f>
        <v>3376</v>
      </c>
      <c r="D16" s="562">
        <f t="shared" si="3"/>
        <v>3609</v>
      </c>
      <c r="E16" s="550">
        <f>D16/B16*100%</f>
        <v>0.47201150928590113</v>
      </c>
      <c r="F16" s="556">
        <f>AVERAGE(F17,F18)</f>
        <v>1.0345389860658167</v>
      </c>
      <c r="G16" s="551">
        <f>G17+G18</f>
        <v>86291752748</v>
      </c>
      <c r="H16" s="551"/>
      <c r="I16" s="552">
        <f>H16/G16*100%</f>
        <v>0</v>
      </c>
      <c r="J16" s="557"/>
      <c r="K16" s="549"/>
      <c r="L16" s="549"/>
      <c r="M16" s="550"/>
      <c r="N16" s="550"/>
      <c r="O16" s="551"/>
      <c r="P16" s="551"/>
      <c r="Q16" s="552"/>
      <c r="R16" s="552"/>
      <c r="S16" s="552"/>
      <c r="T16" s="554"/>
      <c r="U16" s="549"/>
      <c r="V16" s="549"/>
      <c r="W16" s="550"/>
      <c r="X16" s="550"/>
      <c r="Y16" s="551"/>
      <c r="Z16" s="551"/>
      <c r="AA16" s="552"/>
      <c r="AB16" s="561"/>
      <c r="AC16" s="561"/>
      <c r="AD16" s="552"/>
      <c r="AE16" s="552"/>
      <c r="AF16" s="552"/>
      <c r="AG16" s="552"/>
      <c r="AH16" s="552"/>
      <c r="AI16" s="552"/>
      <c r="AJ16" s="552"/>
      <c r="AK16" s="554"/>
    </row>
    <row r="17" spans="1:37">
      <c r="A17" s="517" t="s">
        <v>581</v>
      </c>
      <c r="B17" s="521">
        <v>7633</v>
      </c>
      <c r="C17" s="398">
        <v>3373</v>
      </c>
      <c r="D17" s="399">
        <v>3606</v>
      </c>
      <c r="E17" s="401">
        <f>D17/B17*100%</f>
        <v>0.47242237652299229</v>
      </c>
      <c r="F17" s="540">
        <f>D17/C17*100%</f>
        <v>1.0690779721316335</v>
      </c>
      <c r="G17" s="514">
        <f>72570547694+2777145000+335796722</f>
        <v>75683489416</v>
      </c>
      <c r="H17" s="514"/>
      <c r="I17" s="401">
        <f>H17/G17*100%</f>
        <v>0</v>
      </c>
      <c r="J17" s="397"/>
      <c r="K17" s="398"/>
      <c r="L17" s="399"/>
      <c r="M17" s="401"/>
      <c r="N17" s="513"/>
      <c r="O17" s="514"/>
      <c r="P17" s="514"/>
      <c r="Q17" s="401"/>
      <c r="R17" s="513"/>
      <c r="S17" s="513"/>
      <c r="T17" s="503"/>
      <c r="U17" s="398"/>
      <c r="V17" s="399"/>
      <c r="W17" s="401"/>
      <c r="X17" s="513"/>
      <c r="Y17" s="514"/>
      <c r="Z17" s="514"/>
      <c r="AA17" s="401"/>
      <c r="AB17" s="403"/>
      <c r="AC17" s="403"/>
      <c r="AD17" s="401"/>
      <c r="AE17" s="401"/>
      <c r="AF17" s="401"/>
      <c r="AG17" s="401"/>
      <c r="AH17" s="401"/>
      <c r="AI17" s="513"/>
      <c r="AJ17" s="513"/>
      <c r="AK17" s="396"/>
    </row>
    <row r="18" spans="1:37">
      <c r="A18" s="517" t="s">
        <v>582</v>
      </c>
      <c r="B18" s="521">
        <v>13</v>
      </c>
      <c r="C18" s="398">
        <v>3</v>
      </c>
      <c r="D18" s="399">
        <v>3</v>
      </c>
      <c r="E18" s="401">
        <f>D18/B18*100%</f>
        <v>0.23076923076923078</v>
      </c>
      <c r="F18" s="540">
        <f>D18/C18*100%</f>
        <v>1</v>
      </c>
      <c r="G18" s="514">
        <v>10608263332</v>
      </c>
      <c r="H18" s="514"/>
      <c r="I18" s="401">
        <f>H18/G18*100%</f>
        <v>0</v>
      </c>
      <c r="J18" s="397"/>
      <c r="K18" s="398"/>
      <c r="L18" s="399"/>
      <c r="M18" s="401"/>
      <c r="N18" s="513"/>
      <c r="O18" s="514"/>
      <c r="P18" s="514"/>
      <c r="Q18" s="401"/>
      <c r="R18" s="513"/>
      <c r="S18" s="513"/>
      <c r="T18" s="503"/>
      <c r="U18" s="398"/>
      <c r="V18" s="399"/>
      <c r="W18" s="401"/>
      <c r="X18" s="513"/>
      <c r="Y18" s="514"/>
      <c r="Z18" s="514"/>
      <c r="AA18" s="401"/>
      <c r="AB18" s="403"/>
      <c r="AC18" s="403"/>
      <c r="AD18" s="401"/>
      <c r="AE18" s="401"/>
      <c r="AF18" s="401"/>
      <c r="AG18" s="401"/>
      <c r="AH18" s="401"/>
      <c r="AI18" s="513"/>
      <c r="AJ18" s="513"/>
      <c r="AK18" s="396"/>
    </row>
    <row r="19" spans="1:37">
      <c r="A19" s="517"/>
      <c r="B19" s="517"/>
      <c r="C19" s="517"/>
      <c r="D19" s="517"/>
      <c r="E19" s="517"/>
      <c r="F19" s="517"/>
      <c r="G19" s="518"/>
      <c r="H19" s="518"/>
      <c r="I19" s="518"/>
      <c r="J19" s="517"/>
      <c r="K19" s="517"/>
      <c r="L19" s="517"/>
      <c r="M19" s="517"/>
      <c r="N19" s="517"/>
      <c r="O19" s="518"/>
      <c r="P19" s="518"/>
      <c r="Q19" s="518"/>
      <c r="R19" s="518"/>
      <c r="S19" s="518"/>
      <c r="T19" s="503"/>
      <c r="U19" s="517"/>
      <c r="V19" s="517"/>
      <c r="W19" s="517"/>
      <c r="X19" s="517"/>
      <c r="Y19" s="518"/>
      <c r="Z19" s="518"/>
      <c r="AA19" s="518"/>
      <c r="AB19" s="518"/>
      <c r="AC19" s="518"/>
      <c r="AD19" s="518"/>
      <c r="AE19" s="518"/>
      <c r="AF19" s="518"/>
      <c r="AG19" s="518"/>
      <c r="AH19" s="518"/>
      <c r="AI19" s="518"/>
      <c r="AJ19" s="518"/>
      <c r="AK19" s="396"/>
    </row>
    <row r="20" spans="1:37">
      <c r="A20" s="548" t="s">
        <v>654</v>
      </c>
      <c r="B20" s="549">
        <f>B21+B22+B23+B24</f>
        <v>461</v>
      </c>
      <c r="C20" s="549">
        <f t="shared" ref="C20:D20" si="4">C21+C22+C23+C24</f>
        <v>115</v>
      </c>
      <c r="D20" s="549">
        <f t="shared" si="4"/>
        <v>109</v>
      </c>
      <c r="E20" s="550">
        <f>D20/B20*100%</f>
        <v>0.23644251626898047</v>
      </c>
      <c r="F20" s="556">
        <f>AVERAGE(F21,F22,F23,F24)</f>
        <v>0.85</v>
      </c>
      <c r="G20" s="551">
        <f>G21+G22+G23+G24</f>
        <v>4099902821</v>
      </c>
      <c r="H20" s="551"/>
      <c r="I20" s="552">
        <f>H20/G20*100%</f>
        <v>0</v>
      </c>
      <c r="J20" s="557"/>
      <c r="K20" s="549"/>
      <c r="L20" s="549"/>
      <c r="M20" s="550"/>
      <c r="N20" s="550"/>
      <c r="O20" s="551"/>
      <c r="P20" s="551"/>
      <c r="Q20" s="552"/>
      <c r="R20" s="552"/>
      <c r="S20" s="552"/>
      <c r="T20" s="554"/>
      <c r="U20" s="549"/>
      <c r="V20" s="549"/>
      <c r="W20" s="550"/>
      <c r="X20" s="550"/>
      <c r="Y20" s="551"/>
      <c r="Z20" s="551"/>
      <c r="AA20" s="552"/>
      <c r="AB20" s="561"/>
      <c r="AC20" s="561"/>
      <c r="AD20" s="552"/>
      <c r="AE20" s="552"/>
      <c r="AF20" s="552"/>
      <c r="AG20" s="552"/>
      <c r="AH20" s="552"/>
      <c r="AI20" s="552"/>
      <c r="AJ20" s="552"/>
      <c r="AK20" s="554"/>
    </row>
    <row r="21" spans="1:37">
      <c r="A21" s="517" t="s">
        <v>581</v>
      </c>
      <c r="B21" s="398">
        <v>1</v>
      </c>
      <c r="C21" s="522">
        <v>1</v>
      </c>
      <c r="D21" s="399">
        <v>1</v>
      </c>
      <c r="E21" s="401">
        <f>D21/B21*100%</f>
        <v>1</v>
      </c>
      <c r="F21" s="540">
        <f>D21/C21*100%</f>
        <v>1</v>
      </c>
      <c r="G21" s="523">
        <v>0</v>
      </c>
      <c r="H21" s="523"/>
      <c r="I21" s="401" t="e">
        <f>H21/G21*100%</f>
        <v>#DIV/0!</v>
      </c>
      <c r="J21" s="397"/>
      <c r="K21" s="522"/>
      <c r="L21" s="399"/>
      <c r="M21" s="401"/>
      <c r="N21" s="513"/>
      <c r="O21" s="523"/>
      <c r="P21" s="523"/>
      <c r="Q21" s="513"/>
      <c r="R21" s="513"/>
      <c r="S21" s="513"/>
      <c r="T21" s="503"/>
      <c r="U21" s="522"/>
      <c r="V21" s="399"/>
      <c r="W21" s="401"/>
      <c r="X21" s="513"/>
      <c r="Y21" s="523"/>
      <c r="Z21" s="523"/>
      <c r="AA21" s="513"/>
      <c r="AB21" s="403"/>
      <c r="AC21" s="403"/>
      <c r="AD21" s="401"/>
      <c r="AE21" s="401"/>
      <c r="AF21" s="513"/>
      <c r="AG21" s="513"/>
      <c r="AH21" s="513"/>
      <c r="AI21" s="513"/>
      <c r="AJ21" s="513"/>
      <c r="AK21" s="396"/>
    </row>
    <row r="22" spans="1:37">
      <c r="A22" s="517" t="s">
        <v>582</v>
      </c>
      <c r="B22" s="398">
        <v>15</v>
      </c>
      <c r="C22" s="522">
        <v>3</v>
      </c>
      <c r="D22" s="399">
        <v>3</v>
      </c>
      <c r="E22" s="401">
        <f>D22/B22*100%</f>
        <v>0.2</v>
      </c>
      <c r="F22" s="540">
        <f>D22/C22*100%</f>
        <v>1</v>
      </c>
      <c r="G22" s="514">
        <v>262068277</v>
      </c>
      <c r="H22" s="514"/>
      <c r="I22" s="401">
        <f>H22/G22*100%</f>
        <v>0</v>
      </c>
      <c r="J22" s="397"/>
      <c r="K22" s="522"/>
      <c r="L22" s="399"/>
      <c r="M22" s="401"/>
      <c r="N22" s="513"/>
      <c r="O22" s="514"/>
      <c r="P22" s="514"/>
      <c r="Q22" s="401"/>
      <c r="R22" s="513"/>
      <c r="S22" s="513"/>
      <c r="T22" s="503"/>
      <c r="U22" s="522"/>
      <c r="V22" s="399"/>
      <c r="W22" s="401"/>
      <c r="X22" s="513"/>
      <c r="Y22" s="514"/>
      <c r="Z22" s="514"/>
      <c r="AA22" s="401"/>
      <c r="AB22" s="403"/>
      <c r="AC22" s="403"/>
      <c r="AD22" s="401"/>
      <c r="AE22" s="401"/>
      <c r="AF22" s="401"/>
      <c r="AG22" s="401"/>
      <c r="AH22" s="401"/>
      <c r="AI22" s="513"/>
      <c r="AJ22" s="513"/>
      <c r="AK22" s="396"/>
    </row>
    <row r="23" spans="1:37">
      <c r="A23" s="517" t="s">
        <v>583</v>
      </c>
      <c r="B23" s="398">
        <v>34</v>
      </c>
      <c r="C23" s="522">
        <v>10</v>
      </c>
      <c r="D23" s="399">
        <v>4</v>
      </c>
      <c r="E23" s="401">
        <f>D23/B23*100%</f>
        <v>0.11764705882352941</v>
      </c>
      <c r="F23" s="540">
        <f>D23/C23*100%</f>
        <v>0.4</v>
      </c>
      <c r="G23" s="514">
        <v>295834544</v>
      </c>
      <c r="H23" s="514"/>
      <c r="I23" s="401">
        <f>H23/G23*100%</f>
        <v>0</v>
      </c>
      <c r="J23" s="397"/>
      <c r="K23" s="522"/>
      <c r="L23" s="399"/>
      <c r="M23" s="401"/>
      <c r="N23" s="513"/>
      <c r="O23" s="514"/>
      <c r="P23" s="514"/>
      <c r="Q23" s="401"/>
      <c r="R23" s="513"/>
      <c r="S23" s="513"/>
      <c r="T23" s="503"/>
      <c r="U23" s="522"/>
      <c r="V23" s="399"/>
      <c r="W23" s="401"/>
      <c r="X23" s="513"/>
      <c r="Y23" s="514"/>
      <c r="Z23" s="514"/>
      <c r="AA23" s="401"/>
      <c r="AB23" s="403"/>
      <c r="AC23" s="403"/>
      <c r="AD23" s="401"/>
      <c r="AE23" s="401"/>
      <c r="AF23" s="401"/>
      <c r="AG23" s="401"/>
      <c r="AH23" s="401"/>
      <c r="AI23" s="513"/>
      <c r="AJ23" s="513"/>
      <c r="AK23" s="396"/>
    </row>
    <row r="24" spans="1:37">
      <c r="A24" s="517" t="s">
        <v>588</v>
      </c>
      <c r="B24" s="1277">
        <v>411</v>
      </c>
      <c r="C24" s="1278">
        <v>101</v>
      </c>
      <c r="D24" s="1279">
        <v>101</v>
      </c>
      <c r="E24" s="401">
        <f>D24/B24*100%</f>
        <v>0.24574209245742093</v>
      </c>
      <c r="F24" s="540">
        <f>D24/C24*100%</f>
        <v>1</v>
      </c>
      <c r="G24" s="514">
        <v>3542000000</v>
      </c>
      <c r="H24" s="514"/>
      <c r="I24" s="401">
        <f>H24/G24*100%</f>
        <v>0</v>
      </c>
      <c r="J24" s="397"/>
      <c r="K24" s="522"/>
      <c r="L24" s="399"/>
      <c r="M24" s="401"/>
      <c r="N24" s="513"/>
      <c r="O24" s="514"/>
      <c r="P24" s="514"/>
      <c r="Q24" s="401"/>
      <c r="R24" s="513"/>
      <c r="S24" s="513"/>
      <c r="T24" s="503"/>
      <c r="U24" s="522"/>
      <c r="V24" s="399"/>
      <c r="W24" s="401"/>
      <c r="X24" s="513"/>
      <c r="Y24" s="514"/>
      <c r="Z24" s="514"/>
      <c r="AA24" s="401"/>
      <c r="AB24" s="403"/>
      <c r="AC24" s="403"/>
      <c r="AD24" s="401"/>
      <c r="AE24" s="401"/>
      <c r="AF24" s="401"/>
      <c r="AG24" s="401"/>
      <c r="AH24" s="401"/>
      <c r="AI24" s="513"/>
      <c r="AJ24" s="513"/>
      <c r="AK24" s="396"/>
    </row>
    <row r="25" spans="1:37">
      <c r="A25" s="517"/>
      <c r="B25" s="517"/>
      <c r="C25" s="517"/>
      <c r="D25" s="517"/>
      <c r="E25" s="517"/>
      <c r="F25" s="517"/>
      <c r="G25" s="518"/>
      <c r="H25" s="518"/>
      <c r="I25" s="517"/>
      <c r="J25" s="517"/>
      <c r="K25" s="517"/>
      <c r="L25" s="517"/>
      <c r="M25" s="517"/>
      <c r="N25" s="517"/>
      <c r="O25" s="518"/>
      <c r="P25" s="518"/>
      <c r="Q25" s="517"/>
      <c r="R25" s="517"/>
      <c r="S25" s="517"/>
      <c r="T25" s="503"/>
      <c r="U25" s="517"/>
      <c r="V25" s="517"/>
      <c r="W25" s="517"/>
      <c r="X25" s="517"/>
      <c r="Y25" s="518"/>
      <c r="Z25" s="518"/>
      <c r="AA25" s="517"/>
      <c r="AB25" s="517"/>
      <c r="AC25" s="517"/>
      <c r="AD25" s="517"/>
      <c r="AE25" s="517"/>
      <c r="AF25" s="517"/>
      <c r="AG25" s="517"/>
      <c r="AH25" s="517"/>
      <c r="AI25" s="517"/>
      <c r="AJ25" s="517"/>
      <c r="AK25" s="396"/>
    </row>
    <row r="26" spans="1:37">
      <c r="A26" s="548" t="s">
        <v>655</v>
      </c>
      <c r="B26" s="549">
        <f>B27+B28</f>
        <v>172</v>
      </c>
      <c r="C26" s="549">
        <f t="shared" ref="C26:D26" si="5">C27+C28</f>
        <v>41</v>
      </c>
      <c r="D26" s="549">
        <f t="shared" si="5"/>
        <v>41</v>
      </c>
      <c r="E26" s="550">
        <f>D26/B26*100%</f>
        <v>0.23837209302325582</v>
      </c>
      <c r="F26" s="556">
        <f>AVERAGE(F27,F28)</f>
        <v>1</v>
      </c>
      <c r="G26" s="551">
        <f>G27+G28</f>
        <v>425717734</v>
      </c>
      <c r="H26" s="551"/>
      <c r="I26" s="552">
        <f>H26/G26*100%</f>
        <v>0</v>
      </c>
      <c r="J26" s="557"/>
      <c r="K26" s="549"/>
      <c r="L26" s="549"/>
      <c r="M26" s="550"/>
      <c r="N26" s="550"/>
      <c r="O26" s="551"/>
      <c r="P26" s="551"/>
      <c r="Q26" s="552"/>
      <c r="R26" s="552"/>
      <c r="S26" s="552"/>
      <c r="T26" s="554"/>
      <c r="U26" s="549"/>
      <c r="V26" s="549"/>
      <c r="W26" s="550"/>
      <c r="X26" s="550"/>
      <c r="Y26" s="551"/>
      <c r="Z26" s="551"/>
      <c r="AA26" s="552"/>
      <c r="AB26" s="561"/>
      <c r="AC26" s="561"/>
      <c r="AD26" s="552"/>
      <c r="AE26" s="552"/>
      <c r="AF26" s="552"/>
      <c r="AG26" s="552"/>
      <c r="AH26" s="552"/>
      <c r="AI26" s="552"/>
      <c r="AJ26" s="552"/>
      <c r="AK26" s="554"/>
    </row>
    <row r="27" spans="1:37">
      <c r="A27" s="517" t="s">
        <v>581</v>
      </c>
      <c r="B27" s="398">
        <v>79</v>
      </c>
      <c r="C27" s="398">
        <v>20</v>
      </c>
      <c r="D27" s="399">
        <v>20</v>
      </c>
      <c r="E27" s="401">
        <f>D27/B27*100%</f>
        <v>0.25316455696202533</v>
      </c>
      <c r="F27" s="540">
        <f>D27/C27*100%</f>
        <v>1</v>
      </c>
      <c r="G27" s="514">
        <v>184000000</v>
      </c>
      <c r="H27" s="514"/>
      <c r="I27" s="401">
        <f>H27/G27*100%</f>
        <v>0</v>
      </c>
      <c r="J27" s="397"/>
      <c r="K27" s="398"/>
      <c r="L27" s="399"/>
      <c r="M27" s="401"/>
      <c r="N27" s="513"/>
      <c r="O27" s="514"/>
      <c r="P27" s="514"/>
      <c r="Q27" s="513"/>
      <c r="R27" s="513"/>
      <c r="S27" s="513"/>
      <c r="T27" s="503"/>
      <c r="U27" s="398"/>
      <c r="V27" s="399"/>
      <c r="W27" s="401"/>
      <c r="X27" s="513"/>
      <c r="Y27" s="514"/>
      <c r="Z27" s="514"/>
      <c r="AA27" s="513"/>
      <c r="AB27" s="403"/>
      <c r="AC27" s="403"/>
      <c r="AD27" s="401"/>
      <c r="AE27" s="401"/>
      <c r="AF27" s="513"/>
      <c r="AG27" s="513"/>
      <c r="AH27" s="513"/>
      <c r="AI27" s="513"/>
      <c r="AJ27" s="513"/>
      <c r="AK27" s="396"/>
    </row>
    <row r="28" spans="1:37">
      <c r="A28" s="517" t="s">
        <v>582</v>
      </c>
      <c r="B28" s="398">
        <v>93</v>
      </c>
      <c r="C28" s="398">
        <v>21</v>
      </c>
      <c r="D28" s="399">
        <v>21</v>
      </c>
      <c r="E28" s="401">
        <f>D28/B28*100%</f>
        <v>0.22580645161290322</v>
      </c>
      <c r="F28" s="540">
        <f>D28/C28*100%</f>
        <v>1</v>
      </c>
      <c r="G28" s="514">
        <v>241717734</v>
      </c>
      <c r="H28" s="514"/>
      <c r="I28" s="401">
        <f>H28/G28*100%</f>
        <v>0</v>
      </c>
      <c r="J28" s="397"/>
      <c r="K28" s="398"/>
      <c r="L28" s="399"/>
      <c r="M28" s="401"/>
      <c r="N28" s="513"/>
      <c r="O28" s="514"/>
      <c r="P28" s="514"/>
      <c r="Q28" s="401"/>
      <c r="R28" s="513"/>
      <c r="S28" s="513"/>
      <c r="T28" s="503"/>
      <c r="U28" s="398"/>
      <c r="V28" s="399"/>
      <c r="W28" s="401"/>
      <c r="X28" s="513"/>
      <c r="Y28" s="514"/>
      <c r="Z28" s="514"/>
      <c r="AA28" s="401"/>
      <c r="AB28" s="403"/>
      <c r="AC28" s="403"/>
      <c r="AD28" s="401"/>
      <c r="AE28" s="401"/>
      <c r="AF28" s="401"/>
      <c r="AG28" s="401"/>
      <c r="AH28" s="401"/>
      <c r="AI28" s="513"/>
      <c r="AJ28" s="513"/>
      <c r="AK28" s="396"/>
    </row>
    <row r="29" spans="1:37">
      <c r="A29" s="517"/>
      <c r="B29" s="517"/>
      <c r="C29" s="517"/>
      <c r="D29" s="517"/>
      <c r="E29" s="517"/>
      <c r="F29" s="517"/>
      <c r="G29" s="517"/>
      <c r="H29" s="517"/>
      <c r="I29" s="517"/>
      <c r="J29" s="517"/>
      <c r="K29" s="517"/>
      <c r="L29" s="517"/>
      <c r="M29" s="517"/>
      <c r="N29" s="517"/>
      <c r="O29" s="517"/>
      <c r="P29" s="517"/>
      <c r="Q29" s="517"/>
      <c r="R29" s="517"/>
      <c r="S29" s="517"/>
      <c r="T29" s="503"/>
      <c r="U29" s="517"/>
      <c r="V29" s="517"/>
      <c r="W29" s="517"/>
      <c r="X29" s="517"/>
      <c r="Y29" s="517"/>
      <c r="Z29" s="517"/>
      <c r="AA29" s="517"/>
      <c r="AB29" s="517"/>
      <c r="AC29" s="517"/>
      <c r="AD29" s="517"/>
      <c r="AE29" s="517"/>
      <c r="AF29" s="517"/>
      <c r="AG29" s="517"/>
      <c r="AH29" s="517"/>
      <c r="AI29" s="517"/>
      <c r="AJ29" s="517"/>
      <c r="AK29" s="396"/>
    </row>
    <row r="30" spans="1:37">
      <c r="A30" s="548" t="s">
        <v>656</v>
      </c>
      <c r="B30" s="549">
        <f>B31+B32</f>
        <v>10</v>
      </c>
      <c r="C30" s="549">
        <f t="shared" ref="C30:D30" si="6">C31+C32</f>
        <v>1</v>
      </c>
      <c r="D30" s="549">
        <f t="shared" si="6"/>
        <v>1</v>
      </c>
      <c r="E30" s="550">
        <f>D30/B30*100%</f>
        <v>0.1</v>
      </c>
      <c r="F30" s="556">
        <f>AVERAGE(F31,F32)</f>
        <v>0.5</v>
      </c>
      <c r="G30" s="551">
        <f>G31+G32</f>
        <v>252052566</v>
      </c>
      <c r="H30" s="551"/>
      <c r="I30" s="552">
        <f>H30/G30*100%</f>
        <v>0</v>
      </c>
      <c r="J30" s="557"/>
      <c r="K30" s="549"/>
      <c r="L30" s="549"/>
      <c r="M30" s="550"/>
      <c r="N30" s="550"/>
      <c r="O30" s="551"/>
      <c r="P30" s="551"/>
      <c r="Q30" s="552"/>
      <c r="R30" s="552"/>
      <c r="S30" s="552"/>
      <c r="T30" s="554"/>
      <c r="U30" s="549"/>
      <c r="V30" s="549"/>
      <c r="W30" s="550"/>
      <c r="X30" s="550"/>
      <c r="Y30" s="551"/>
      <c r="Z30" s="551"/>
      <c r="AA30" s="552"/>
      <c r="AB30" s="561"/>
      <c r="AC30" s="561"/>
      <c r="AD30" s="552"/>
      <c r="AE30" s="552"/>
      <c r="AF30" s="552"/>
      <c r="AG30" s="552"/>
      <c r="AH30" s="552"/>
      <c r="AI30" s="552"/>
      <c r="AJ30" s="552"/>
      <c r="AK30" s="554"/>
    </row>
    <row r="31" spans="1:37">
      <c r="A31" s="517" t="s">
        <v>581</v>
      </c>
      <c r="B31" s="398">
        <v>8</v>
      </c>
      <c r="C31" s="398">
        <v>1</v>
      </c>
      <c r="D31" s="399">
        <v>1</v>
      </c>
      <c r="E31" s="401">
        <f>D31/B31*100%</f>
        <v>0.125</v>
      </c>
      <c r="F31" s="540">
        <f>D31/C31*100%</f>
        <v>1</v>
      </c>
      <c r="G31" s="514">
        <v>252052566</v>
      </c>
      <c r="H31" s="513"/>
      <c r="I31" s="401">
        <f>H31/G31*100%</f>
        <v>0</v>
      </c>
      <c r="J31" s="397"/>
      <c r="K31" s="398"/>
      <c r="L31" s="399"/>
      <c r="M31" s="401"/>
      <c r="N31" s="513"/>
      <c r="O31" s="514"/>
      <c r="P31" s="513"/>
      <c r="Q31" s="513"/>
      <c r="R31" s="513"/>
      <c r="S31" s="513"/>
      <c r="T31" s="503"/>
      <c r="U31" s="398"/>
      <c r="V31" s="399"/>
      <c r="W31" s="401"/>
      <c r="X31" s="513"/>
      <c r="Y31" s="514"/>
      <c r="Z31" s="513"/>
      <c r="AA31" s="513"/>
      <c r="AB31" s="523"/>
      <c r="AC31" s="523"/>
      <c r="AD31" s="401"/>
      <c r="AE31" s="401"/>
      <c r="AF31" s="513"/>
      <c r="AG31" s="513"/>
      <c r="AH31" s="513"/>
      <c r="AI31" s="513"/>
      <c r="AJ31" s="513"/>
      <c r="AK31" s="396"/>
    </row>
    <row r="32" spans="1:37">
      <c r="A32" s="517" t="s">
        <v>582</v>
      </c>
      <c r="B32" s="398">
        <v>2</v>
      </c>
      <c r="C32" s="398">
        <v>0</v>
      </c>
      <c r="D32" s="399">
        <v>0</v>
      </c>
      <c r="E32" s="401">
        <f>D32/B32*100%</f>
        <v>0</v>
      </c>
      <c r="F32" s="540">
        <v>0</v>
      </c>
      <c r="G32" s="514">
        <v>0</v>
      </c>
      <c r="H32" s="514"/>
      <c r="I32" s="401" t="e">
        <f>H32/G32*100%</f>
        <v>#DIV/0!</v>
      </c>
      <c r="J32" s="397"/>
      <c r="K32" s="398"/>
      <c r="L32" s="398"/>
      <c r="M32" s="401"/>
      <c r="N32" s="513"/>
      <c r="O32" s="514"/>
      <c r="P32" s="514"/>
      <c r="Q32" s="401"/>
      <c r="R32" s="513"/>
      <c r="S32" s="513"/>
      <c r="T32" s="503"/>
      <c r="U32" s="398"/>
      <c r="V32" s="398"/>
      <c r="W32" s="401"/>
      <c r="X32" s="513"/>
      <c r="Y32" s="514"/>
      <c r="Z32" s="514"/>
      <c r="AA32" s="401"/>
      <c r="AB32" s="403"/>
      <c r="AC32" s="403"/>
      <c r="AD32" s="401"/>
      <c r="AE32" s="401"/>
      <c r="AF32" s="401"/>
      <c r="AG32" s="401"/>
      <c r="AH32" s="401"/>
      <c r="AI32" s="513"/>
      <c r="AJ32" s="513"/>
      <c r="AK32" s="396"/>
    </row>
    <row r="33" spans="1:37">
      <c r="A33" s="517"/>
      <c r="B33" s="517"/>
      <c r="C33" s="517"/>
      <c r="D33" s="517"/>
      <c r="E33" s="517"/>
      <c r="F33" s="517"/>
      <c r="G33" s="517"/>
      <c r="H33" s="517"/>
      <c r="I33" s="517"/>
      <c r="J33" s="517"/>
      <c r="K33" s="517"/>
      <c r="L33" s="517"/>
      <c r="M33" s="517"/>
      <c r="N33" s="517"/>
      <c r="O33" s="517"/>
      <c r="P33" s="517"/>
      <c r="Q33" s="517"/>
      <c r="R33" s="503"/>
      <c r="S33" s="503"/>
      <c r="T33" s="503"/>
      <c r="U33" s="517"/>
      <c r="V33" s="517"/>
      <c r="W33" s="517"/>
      <c r="X33" s="517"/>
      <c r="Y33" s="517"/>
      <c r="Z33" s="517"/>
      <c r="AA33" s="517"/>
      <c r="AB33" s="524"/>
      <c r="AC33" s="524"/>
      <c r="AD33" s="524"/>
      <c r="AE33" s="524"/>
      <c r="AF33" s="524"/>
      <c r="AG33" s="524"/>
      <c r="AH33" s="524"/>
      <c r="AI33" s="503"/>
      <c r="AJ33" s="503"/>
      <c r="AK33" s="396"/>
    </row>
    <row r="34" spans="1:37">
      <c r="A34" s="548" t="s">
        <v>657</v>
      </c>
      <c r="B34" s="549">
        <v>57</v>
      </c>
      <c r="C34" s="549">
        <v>4</v>
      </c>
      <c r="D34" s="549">
        <v>4</v>
      </c>
      <c r="E34" s="550">
        <f>D34/B34*100%</f>
        <v>7.0175438596491224E-2</v>
      </c>
      <c r="F34" s="556">
        <f>AVERAGE(F35)</f>
        <v>1</v>
      </c>
      <c r="G34" s="551">
        <f>G35</f>
        <v>392400000</v>
      </c>
      <c r="H34" s="551"/>
      <c r="I34" s="552">
        <f>H34/G34*100%</f>
        <v>0</v>
      </c>
      <c r="J34" s="557"/>
      <c r="K34" s="549"/>
      <c r="L34" s="549"/>
      <c r="M34" s="550"/>
      <c r="N34" s="550"/>
      <c r="O34" s="551"/>
      <c r="P34" s="551"/>
      <c r="Q34" s="550"/>
      <c r="R34" s="550"/>
      <c r="S34" s="550"/>
      <c r="T34" s="554"/>
      <c r="U34" s="549"/>
      <c r="V34" s="558"/>
      <c r="W34" s="550"/>
      <c r="X34" s="550"/>
      <c r="Y34" s="551"/>
      <c r="Z34" s="551"/>
      <c r="AA34" s="550"/>
      <c r="AB34" s="559"/>
      <c r="AC34" s="560"/>
      <c r="AD34" s="552"/>
      <c r="AE34" s="550"/>
      <c r="AF34" s="550"/>
      <c r="AG34" s="550"/>
      <c r="AH34" s="550"/>
      <c r="AI34" s="550"/>
      <c r="AJ34" s="550"/>
      <c r="AK34" s="554"/>
    </row>
    <row r="35" spans="1:37">
      <c r="A35" s="517" t="s">
        <v>581</v>
      </c>
      <c r="B35" s="398">
        <v>57</v>
      </c>
      <c r="C35" s="398">
        <v>4</v>
      </c>
      <c r="D35" s="400">
        <v>4</v>
      </c>
      <c r="E35" s="401">
        <f>D35/B35*100%</f>
        <v>7.0175438596491224E-2</v>
      </c>
      <c r="F35" s="540">
        <f>D35/C35*100%</f>
        <v>1</v>
      </c>
      <c r="G35" s="514">
        <v>392400000</v>
      </c>
      <c r="H35" s="514"/>
      <c r="I35" s="401">
        <f>H35/G35*100%</f>
        <v>0</v>
      </c>
      <c r="J35" s="402"/>
      <c r="K35" s="398"/>
      <c r="L35" s="398"/>
      <c r="M35" s="401"/>
      <c r="N35" s="513"/>
      <c r="O35" s="514"/>
      <c r="P35" s="514"/>
      <c r="Q35" s="401"/>
      <c r="R35" s="513"/>
      <c r="S35" s="513"/>
      <c r="T35" s="503"/>
      <c r="U35" s="398"/>
      <c r="V35" s="398"/>
      <c r="W35" s="401"/>
      <c r="X35" s="513"/>
      <c r="Y35" s="514"/>
      <c r="Z35" s="514"/>
      <c r="AA35" s="401"/>
      <c r="AB35" s="403"/>
      <c r="AC35" s="404"/>
      <c r="AD35" s="401"/>
      <c r="AE35" s="401"/>
      <c r="AF35" s="401"/>
      <c r="AG35" s="401"/>
      <c r="AH35" s="401"/>
      <c r="AI35" s="513"/>
      <c r="AJ35" s="513"/>
      <c r="AK35" s="396"/>
    </row>
    <row r="36" spans="1:37">
      <c r="A36" s="517"/>
      <c r="B36" s="517"/>
      <c r="C36" s="517"/>
      <c r="D36" s="517"/>
      <c r="E36" s="517"/>
      <c r="F36" s="401"/>
      <c r="G36" s="401"/>
      <c r="H36" s="401"/>
      <c r="I36" s="525"/>
      <c r="J36" s="517"/>
      <c r="K36" s="517"/>
      <c r="L36" s="517"/>
      <c r="M36" s="517"/>
      <c r="N36" s="401"/>
      <c r="O36" s="401"/>
      <c r="P36" s="401"/>
      <c r="Q36" s="525"/>
      <c r="R36" s="503"/>
      <c r="S36" s="503"/>
      <c r="T36" s="503"/>
      <c r="U36" s="517"/>
      <c r="V36" s="517"/>
      <c r="W36" s="517"/>
      <c r="X36" s="401"/>
      <c r="Y36" s="401"/>
      <c r="Z36" s="401"/>
      <c r="AA36" s="525"/>
      <c r="AB36" s="525"/>
      <c r="AC36" s="525"/>
      <c r="AD36" s="525"/>
      <c r="AE36" s="525"/>
      <c r="AF36" s="525"/>
      <c r="AG36" s="525"/>
      <c r="AH36" s="525"/>
      <c r="AI36" s="503"/>
      <c r="AJ36" s="503"/>
      <c r="AK36" s="396"/>
    </row>
    <row r="37" spans="1:37">
      <c r="A37" s="548" t="s">
        <v>658</v>
      </c>
      <c r="B37" s="549">
        <f>B38+B39+B40</f>
        <v>105</v>
      </c>
      <c r="C37" s="549">
        <f t="shared" ref="C37:D37" si="7">C38+C39+C40</f>
        <v>25</v>
      </c>
      <c r="D37" s="549">
        <f t="shared" si="7"/>
        <v>27</v>
      </c>
      <c r="E37" s="550">
        <f>D37/B37*100%</f>
        <v>0.25714285714285712</v>
      </c>
      <c r="F37" s="556">
        <f>AVERAGE(F38,F39,F40)</f>
        <v>1.1319444444444444</v>
      </c>
      <c r="G37" s="551">
        <f>G38</f>
        <v>2272664045</v>
      </c>
      <c r="H37" s="551"/>
      <c r="I37" s="552"/>
      <c r="J37" s="553"/>
      <c r="K37" s="549"/>
      <c r="L37" s="549"/>
      <c r="M37" s="550"/>
      <c r="N37" s="550"/>
      <c r="O37" s="551"/>
      <c r="P37" s="551"/>
      <c r="Q37" s="552"/>
      <c r="R37" s="552"/>
      <c r="S37" s="552"/>
      <c r="T37" s="554"/>
      <c r="U37" s="549"/>
      <c r="V37" s="549"/>
      <c r="W37" s="550"/>
      <c r="X37" s="550"/>
      <c r="Y37" s="551"/>
      <c r="Z37" s="551"/>
      <c r="AA37" s="552"/>
      <c r="AB37" s="555"/>
      <c r="AC37" s="555"/>
      <c r="AD37" s="552"/>
      <c r="AE37" s="552"/>
      <c r="AF37" s="552"/>
      <c r="AG37" s="552"/>
      <c r="AH37" s="552"/>
      <c r="AI37" s="552"/>
      <c r="AJ37" s="552"/>
      <c r="AK37" s="554"/>
    </row>
    <row r="38" spans="1:37">
      <c r="A38" s="517" t="s">
        <v>581</v>
      </c>
      <c r="B38" s="526">
        <v>25</v>
      </c>
      <c r="C38" s="526">
        <v>6</v>
      </c>
      <c r="D38" s="400">
        <v>6</v>
      </c>
      <c r="E38" s="401">
        <f>D38/B38*100%</f>
        <v>0.24</v>
      </c>
      <c r="F38" s="542">
        <f>D38/C38*100%</f>
        <v>1</v>
      </c>
      <c r="G38" s="943">
        <v>2272664045</v>
      </c>
      <c r="H38" s="1042"/>
      <c r="I38" s="1039">
        <f>H38/G38*100%</f>
        <v>0</v>
      </c>
      <c r="J38" s="402"/>
      <c r="K38" s="526"/>
      <c r="L38" s="400"/>
      <c r="M38" s="401"/>
      <c r="N38" s="513"/>
      <c r="O38" s="516"/>
      <c r="P38" s="516"/>
      <c r="Q38" s="401"/>
      <c r="R38" s="513"/>
      <c r="S38" s="513"/>
      <c r="T38" s="503"/>
      <c r="U38" s="526"/>
      <c r="V38" s="400"/>
      <c r="W38" s="401"/>
      <c r="X38" s="513"/>
      <c r="Y38" s="516"/>
      <c r="Z38" s="516"/>
      <c r="AA38" s="401"/>
      <c r="AB38" s="403"/>
      <c r="AC38" s="404"/>
      <c r="AD38" s="401"/>
      <c r="AE38" s="401"/>
      <c r="AF38" s="401"/>
      <c r="AG38" s="401"/>
      <c r="AH38" s="401"/>
      <c r="AI38" s="513"/>
      <c r="AJ38" s="513"/>
      <c r="AK38" s="396"/>
    </row>
    <row r="39" spans="1:37">
      <c r="A39" s="517" t="s">
        <v>582</v>
      </c>
      <c r="B39" s="526">
        <v>65</v>
      </c>
      <c r="C39" s="526">
        <v>16</v>
      </c>
      <c r="D39" s="400">
        <v>17</v>
      </c>
      <c r="E39" s="401">
        <f>D39/B39*100%</f>
        <v>0.26153846153846155</v>
      </c>
      <c r="F39" s="540">
        <f>D39/C39*100%</f>
        <v>1.0625</v>
      </c>
      <c r="G39" s="944"/>
      <c r="H39" s="1043"/>
      <c r="I39" s="1040"/>
      <c r="J39" s="402"/>
      <c r="K39" s="526"/>
      <c r="L39" s="400"/>
      <c r="M39" s="401"/>
      <c r="N39" s="513"/>
      <c r="O39" s="514"/>
      <c r="P39" s="514"/>
      <c r="Q39" s="401"/>
      <c r="R39" s="513"/>
      <c r="S39" s="513"/>
      <c r="T39" s="503"/>
      <c r="U39" s="526"/>
      <c r="V39" s="400"/>
      <c r="W39" s="401"/>
      <c r="X39" s="513"/>
      <c r="Y39" s="514"/>
      <c r="Z39" s="514"/>
      <c r="AA39" s="401"/>
      <c r="AB39" s="403"/>
      <c r="AC39" s="404"/>
      <c r="AD39" s="401"/>
      <c r="AE39" s="401"/>
      <c r="AF39" s="401"/>
      <c r="AG39" s="401"/>
      <c r="AH39" s="401"/>
      <c r="AI39" s="513"/>
      <c r="AJ39" s="513"/>
      <c r="AK39" s="396"/>
    </row>
    <row r="40" spans="1:37">
      <c r="A40" s="517" t="s">
        <v>583</v>
      </c>
      <c r="B40" s="526">
        <v>15</v>
      </c>
      <c r="C40" s="526">
        <v>3</v>
      </c>
      <c r="D40" s="400">
        <v>4</v>
      </c>
      <c r="E40" s="401">
        <f>D40/B40*100%</f>
        <v>0.26666666666666666</v>
      </c>
      <c r="F40" s="540">
        <f>D40/C40*100%</f>
        <v>1.3333333333333333</v>
      </c>
      <c r="G40" s="945"/>
      <c r="H40" s="1044"/>
      <c r="I40" s="1041"/>
      <c r="J40" s="402"/>
      <c r="K40" s="526"/>
      <c r="L40" s="400"/>
      <c r="M40" s="401"/>
      <c r="N40" s="513"/>
      <c r="O40" s="514"/>
      <c r="P40" s="514"/>
      <c r="Q40" s="401"/>
      <c r="R40" s="513"/>
      <c r="S40" s="513"/>
      <c r="T40" s="503"/>
      <c r="U40" s="526"/>
      <c r="V40" s="400"/>
      <c r="W40" s="401"/>
      <c r="X40" s="513"/>
      <c r="Y40" s="514"/>
      <c r="Z40" s="514"/>
      <c r="AA40" s="401"/>
      <c r="AB40" s="403"/>
      <c r="AC40" s="404"/>
      <c r="AD40" s="401"/>
      <c r="AE40" s="401"/>
      <c r="AF40" s="401"/>
      <c r="AG40" s="401"/>
      <c r="AH40" s="401"/>
      <c r="AI40" s="513"/>
      <c r="AJ40" s="513"/>
      <c r="AK40" s="396"/>
    </row>
    <row r="41" spans="1:37">
      <c r="A41" s="527"/>
      <c r="B41" s="527"/>
      <c r="C41" s="527"/>
      <c r="D41" s="527"/>
      <c r="E41" s="527"/>
      <c r="F41" s="527"/>
      <c r="G41" s="528"/>
      <c r="H41" s="528"/>
      <c r="I41" s="527"/>
      <c r="J41" s="527"/>
      <c r="K41" s="527"/>
      <c r="L41" s="527"/>
      <c r="M41" s="527"/>
      <c r="N41" s="527"/>
      <c r="O41" s="528"/>
      <c r="P41" s="528"/>
      <c r="Q41" s="527"/>
      <c r="R41" s="527"/>
      <c r="S41" s="527"/>
      <c r="T41" s="503"/>
      <c r="U41" s="527"/>
      <c r="V41" s="527"/>
      <c r="W41" s="527"/>
      <c r="X41" s="527"/>
      <c r="Y41" s="528"/>
      <c r="Z41" s="528"/>
      <c r="AA41" s="527"/>
      <c r="AB41" s="527"/>
      <c r="AC41" s="527"/>
      <c r="AD41" s="527"/>
      <c r="AE41" s="527"/>
      <c r="AF41" s="527"/>
      <c r="AG41" s="527"/>
      <c r="AH41" s="527"/>
      <c r="AI41" s="527"/>
      <c r="AJ41" s="527"/>
      <c r="AK41" s="396"/>
    </row>
    <row r="42" spans="1:37" ht="30">
      <c r="A42" s="579" t="s">
        <v>659</v>
      </c>
      <c r="B42" s="564">
        <f>B37+B34+B30+B26+B20+B16+B12+B7</f>
        <v>9255</v>
      </c>
      <c r="C42" s="564">
        <f>C37+C34+C30+C26+C20+C16+C12+C7</f>
        <v>3770</v>
      </c>
      <c r="D42" s="564">
        <f>D37+D34+D30+D26+D20+D16+D12+D7</f>
        <v>3991</v>
      </c>
      <c r="E42" s="565">
        <f>AVERAGE(E37,E34,E30,E26,E20,E16,E12,E7)</f>
        <v>0.22573989693800145</v>
      </c>
      <c r="F42" s="566">
        <f>AVERAGE(F37,F34,F30,F26,F20,F16,F12,F7)</f>
        <v>0.8848255803289341</v>
      </c>
      <c r="G42" s="564">
        <f>G37+G34+G30+G26+G20+G16+G12+G7</f>
        <v>154210833597</v>
      </c>
      <c r="H42" s="564"/>
      <c r="I42" s="566"/>
      <c r="J42" s="567"/>
      <c r="K42" s="564"/>
      <c r="L42" s="564"/>
      <c r="M42" s="566"/>
      <c r="N42" s="566"/>
      <c r="O42" s="564"/>
      <c r="P42" s="564"/>
      <c r="Q42" s="566"/>
      <c r="R42" s="566"/>
      <c r="S42" s="566"/>
      <c r="T42" s="568"/>
      <c r="U42" s="564"/>
      <c r="V42" s="564"/>
      <c r="W42" s="566"/>
      <c r="X42" s="566"/>
      <c r="Y42" s="564"/>
      <c r="Z42" s="564"/>
      <c r="AA42" s="566"/>
      <c r="AB42" s="569"/>
      <c r="AC42" s="569"/>
      <c r="AD42" s="566"/>
      <c r="AE42" s="566"/>
      <c r="AF42" s="566"/>
      <c r="AG42" s="566"/>
      <c r="AH42" s="566"/>
      <c r="AI42" s="566"/>
      <c r="AJ42" s="566"/>
      <c r="AK42" s="568"/>
    </row>
    <row r="43" spans="1:37" s="503" customFormat="1">
      <c r="A43" s="545" t="s">
        <v>660</v>
      </c>
      <c r="B43" s="564">
        <v>9255</v>
      </c>
      <c r="C43" s="564">
        <v>3770</v>
      </c>
      <c r="D43" s="564">
        <v>3991</v>
      </c>
      <c r="E43" s="578">
        <f>D43/B43*100%</f>
        <v>0.43122636412749865</v>
      </c>
      <c r="F43" s="571">
        <f>D42/C42*100%</f>
        <v>1.0586206896551724</v>
      </c>
      <c r="G43" s="406"/>
      <c r="H43" s="406"/>
      <c r="I43" s="571"/>
      <c r="J43" s="572"/>
      <c r="K43" s="406"/>
      <c r="L43" s="406"/>
      <c r="M43" s="571"/>
      <c r="N43" s="571"/>
      <c r="O43" s="406"/>
      <c r="P43" s="406"/>
      <c r="Q43" s="571"/>
      <c r="R43" s="571"/>
      <c r="S43" s="571"/>
      <c r="T43" s="545"/>
      <c r="U43" s="406"/>
      <c r="V43" s="406"/>
      <c r="W43" s="571"/>
      <c r="X43" s="571"/>
      <c r="Y43" s="406"/>
      <c r="Z43" s="406"/>
      <c r="AA43" s="571"/>
      <c r="AB43" s="409"/>
      <c r="AC43" s="409"/>
      <c r="AD43" s="571"/>
      <c r="AE43" s="571"/>
      <c r="AF43" s="571"/>
      <c r="AG43" s="571"/>
      <c r="AH43" s="571"/>
      <c r="AI43" s="571"/>
      <c r="AJ43" s="571"/>
      <c r="AK43" s="545"/>
    </row>
    <row r="44" spans="1:37" s="503" customFormat="1">
      <c r="A44" s="545"/>
      <c r="B44" s="406"/>
      <c r="C44" s="406"/>
      <c r="D44" s="406"/>
      <c r="E44" s="570"/>
      <c r="F44" s="571"/>
      <c r="G44" s="406"/>
      <c r="H44" s="406"/>
      <c r="I44" s="571"/>
      <c r="J44" s="572"/>
      <c r="K44" s="406"/>
      <c r="L44" s="406"/>
      <c r="M44" s="571"/>
      <c r="N44" s="571"/>
      <c r="O44" s="406"/>
      <c r="P44" s="406"/>
      <c r="Q44" s="571"/>
      <c r="R44" s="571"/>
      <c r="S44" s="571"/>
      <c r="T44" s="545"/>
      <c r="U44" s="406"/>
      <c r="V44" s="406"/>
      <c r="W44" s="571"/>
      <c r="X44" s="571"/>
      <c r="Y44" s="406"/>
      <c r="Z44" s="406"/>
      <c r="AA44" s="571"/>
      <c r="AB44" s="409"/>
      <c r="AC44" s="409"/>
      <c r="AD44" s="571"/>
      <c r="AE44" s="571"/>
      <c r="AF44" s="571"/>
      <c r="AG44" s="571"/>
      <c r="AH44" s="571"/>
      <c r="AI44" s="571"/>
      <c r="AJ44" s="571"/>
      <c r="AK44" s="545"/>
    </row>
    <row r="45" spans="1:37" s="503" customFormat="1">
      <c r="A45" s="545"/>
      <c r="B45" s="406"/>
      <c r="C45" s="406"/>
      <c r="D45" s="406"/>
      <c r="E45" s="570"/>
      <c r="F45" s="571"/>
      <c r="G45" s="406"/>
      <c r="H45" s="406"/>
      <c r="I45" s="571"/>
      <c r="J45" s="572"/>
      <c r="K45" s="406"/>
      <c r="L45" s="406"/>
      <c r="M45" s="571"/>
      <c r="N45" s="571"/>
      <c r="O45" s="406"/>
      <c r="P45" s="406"/>
      <c r="Q45" s="571"/>
      <c r="R45" s="571"/>
      <c r="S45" s="571"/>
      <c r="T45" s="545"/>
      <c r="U45" s="406"/>
      <c r="V45" s="406"/>
      <c r="W45" s="571"/>
      <c r="X45" s="571"/>
      <c r="Y45" s="406"/>
      <c r="Z45" s="406"/>
      <c r="AA45" s="571"/>
      <c r="AB45" s="409"/>
      <c r="AC45" s="409"/>
      <c r="AD45" s="571"/>
      <c r="AE45" s="571"/>
      <c r="AF45" s="571"/>
      <c r="AG45" s="571"/>
      <c r="AH45" s="571"/>
      <c r="AI45" s="571"/>
      <c r="AJ45" s="571"/>
      <c r="AK45" s="545"/>
    </row>
    <row r="46" spans="1:37" s="503" customFormat="1">
      <c r="A46" s="545"/>
      <c r="B46" s="406"/>
      <c r="C46" s="406"/>
      <c r="D46" s="406"/>
      <c r="E46" s="570"/>
      <c r="F46" s="571"/>
      <c r="G46" s="406"/>
      <c r="H46" s="406"/>
      <c r="I46" s="571"/>
      <c r="J46" s="572"/>
      <c r="K46" s="406"/>
      <c r="L46" s="406"/>
      <c r="M46" s="571"/>
      <c r="N46" s="571"/>
      <c r="O46" s="406"/>
      <c r="P46" s="406"/>
      <c r="Q46" s="571"/>
      <c r="R46" s="571"/>
      <c r="S46" s="571"/>
      <c r="T46" s="545"/>
      <c r="U46" s="406"/>
      <c r="V46" s="406"/>
      <c r="W46" s="571"/>
      <c r="X46" s="571"/>
      <c r="Y46" s="406"/>
      <c r="Z46" s="406"/>
      <c r="AA46" s="571"/>
      <c r="AB46" s="409"/>
      <c r="AC46" s="409"/>
      <c r="AD46" s="571"/>
      <c r="AE46" s="571"/>
      <c r="AF46" s="571"/>
      <c r="AG46" s="571"/>
      <c r="AH46" s="571"/>
      <c r="AI46" s="571"/>
      <c r="AJ46" s="571"/>
      <c r="AK46" s="545"/>
    </row>
    <row r="47" spans="1:37" s="503" customFormat="1">
      <c r="A47" s="545"/>
      <c r="B47" s="406"/>
      <c r="C47" s="406"/>
      <c r="D47" s="406"/>
      <c r="E47" s="570"/>
      <c r="F47" s="571"/>
      <c r="G47" s="406"/>
      <c r="H47" s="406"/>
      <c r="I47" s="571"/>
      <c r="J47" s="572"/>
      <c r="K47" s="406"/>
      <c r="L47" s="406"/>
      <c r="M47" s="571"/>
      <c r="N47" s="571"/>
      <c r="O47" s="406"/>
      <c r="P47" s="406"/>
      <c r="Q47" s="571"/>
      <c r="R47" s="571"/>
      <c r="S47" s="571"/>
      <c r="T47" s="545"/>
      <c r="U47" s="406"/>
      <c r="V47" s="406"/>
      <c r="W47" s="571"/>
      <c r="X47" s="571"/>
      <c r="Y47" s="406"/>
      <c r="Z47" s="406"/>
      <c r="AA47" s="571"/>
      <c r="AB47" s="409"/>
      <c r="AC47" s="409"/>
      <c r="AD47" s="571"/>
      <c r="AE47" s="571"/>
      <c r="AF47" s="571"/>
      <c r="AG47" s="571"/>
      <c r="AH47" s="571"/>
      <c r="AI47" s="571"/>
      <c r="AJ47" s="571"/>
      <c r="AK47" s="545"/>
    </row>
    <row r="48" spans="1:37" s="503" customFormat="1">
      <c r="A48" s="545"/>
      <c r="B48" s="406"/>
      <c r="C48" s="406"/>
      <c r="D48" s="406"/>
      <c r="E48" s="570"/>
      <c r="F48" s="571"/>
      <c r="G48" s="406"/>
      <c r="H48" s="406"/>
      <c r="I48" s="571"/>
      <c r="J48" s="572"/>
      <c r="K48" s="406"/>
      <c r="L48" s="406"/>
      <c r="M48" s="571"/>
      <c r="N48" s="571"/>
      <c r="O48" s="406"/>
      <c r="P48" s="406"/>
      <c r="Q48" s="571"/>
      <c r="R48" s="571"/>
      <c r="S48" s="571"/>
      <c r="T48" s="545"/>
      <c r="U48" s="406"/>
      <c r="V48" s="406"/>
      <c r="W48" s="571"/>
      <c r="X48" s="571"/>
      <c r="Y48" s="406"/>
      <c r="Z48" s="406"/>
      <c r="AA48" s="571"/>
      <c r="AB48" s="409"/>
      <c r="AC48" s="409"/>
      <c r="AD48" s="571"/>
      <c r="AE48" s="571"/>
      <c r="AF48" s="571"/>
      <c r="AG48" s="571"/>
      <c r="AH48" s="571"/>
      <c r="AI48" s="571"/>
      <c r="AJ48" s="571"/>
      <c r="AK48" s="545"/>
    </row>
    <row r="49" spans="1:37" s="503" customFormat="1">
      <c r="A49" s="545"/>
      <c r="B49" s="406"/>
      <c r="C49" s="406"/>
      <c r="D49" s="406"/>
      <c r="E49" s="570"/>
      <c r="F49" s="571"/>
      <c r="G49" s="406"/>
      <c r="H49" s="406"/>
      <c r="I49" s="571"/>
      <c r="J49" s="572"/>
      <c r="K49" s="406"/>
      <c r="L49" s="406"/>
      <c r="M49" s="571"/>
      <c r="N49" s="571"/>
      <c r="O49" s="406"/>
      <c r="P49" s="406"/>
      <c r="Q49" s="571"/>
      <c r="R49" s="571"/>
      <c r="S49" s="571"/>
      <c r="T49" s="545"/>
      <c r="U49" s="406"/>
      <c r="V49" s="406"/>
      <c r="W49" s="571"/>
      <c r="X49" s="571"/>
      <c r="Y49" s="406"/>
      <c r="Z49" s="406"/>
      <c r="AA49" s="571"/>
      <c r="AB49" s="409"/>
      <c r="AC49" s="409"/>
      <c r="AD49" s="571"/>
      <c r="AE49" s="571"/>
      <c r="AF49" s="571"/>
      <c r="AG49" s="571"/>
      <c r="AH49" s="571"/>
      <c r="AI49" s="571"/>
      <c r="AJ49" s="571"/>
      <c r="AK49" s="545"/>
    </row>
    <row r="50" spans="1:37" s="396" customFormat="1">
      <c r="A50" s="545"/>
      <c r="B50" s="504"/>
      <c r="C50" s="504"/>
      <c r="D50" s="504"/>
      <c r="E50" s="397"/>
      <c r="F50" s="515"/>
      <c r="G50" s="515"/>
      <c r="H50" s="515"/>
      <c r="I50" s="515"/>
      <c r="J50" s="397"/>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row>
    <row r="51" spans="1:37">
      <c r="A51" s="563"/>
      <c r="B51" s="530"/>
      <c r="C51" s="530"/>
      <c r="D51" s="530"/>
      <c r="E51" s="531"/>
      <c r="F51" s="532"/>
      <c r="G51" s="532"/>
      <c r="H51" s="532"/>
      <c r="I51" s="532"/>
      <c r="J51" s="576"/>
      <c r="K51" s="533"/>
      <c r="L51" s="533"/>
      <c r="M51" s="533"/>
      <c r="N51" s="533"/>
      <c r="O51" s="533"/>
      <c r="P51" s="533"/>
      <c r="Q51" s="533"/>
      <c r="R51" s="533"/>
      <c r="S51" s="533"/>
      <c r="T51" s="533"/>
      <c r="U51" s="577"/>
      <c r="V51" s="577"/>
      <c r="W51" s="577"/>
      <c r="X51" s="577"/>
      <c r="Y51" s="519"/>
      <c r="Z51" s="533"/>
      <c r="AA51" s="577"/>
      <c r="AB51" s="577"/>
      <c r="AC51" s="577"/>
      <c r="AD51" s="577"/>
      <c r="AE51" s="519"/>
      <c r="AF51" s="533"/>
      <c r="AG51" s="533"/>
      <c r="AH51" s="533"/>
      <c r="AI51" s="533"/>
      <c r="AJ51" s="533"/>
    </row>
    <row r="52" spans="1:37">
      <c r="A52" s="563"/>
      <c r="B52" s="530"/>
      <c r="C52" s="530"/>
      <c r="D52" s="530"/>
      <c r="E52" s="531"/>
      <c r="F52" s="532"/>
      <c r="G52" s="532"/>
      <c r="H52" s="532"/>
      <c r="I52" s="532"/>
      <c r="J52" s="576"/>
      <c r="K52" s="533"/>
      <c r="L52" s="533"/>
      <c r="M52" s="533"/>
      <c r="N52" s="533"/>
      <c r="O52" s="533"/>
      <c r="P52" s="533"/>
      <c r="Q52" s="533"/>
      <c r="R52" s="533"/>
      <c r="S52" s="533"/>
      <c r="T52" s="533"/>
      <c r="U52" s="577"/>
      <c r="V52" s="577"/>
      <c r="W52" s="577"/>
      <c r="X52" s="577"/>
      <c r="Y52" s="519"/>
      <c r="Z52" s="533"/>
      <c r="AA52" s="577"/>
      <c r="AB52" s="577"/>
      <c r="AC52" s="577"/>
      <c r="AD52" s="577"/>
      <c r="AE52" s="519"/>
      <c r="AF52" s="533"/>
      <c r="AG52" s="533"/>
      <c r="AH52" s="533"/>
      <c r="AI52" s="533"/>
      <c r="AJ52" s="533"/>
    </row>
    <row r="53" spans="1:37" ht="90">
      <c r="A53" s="534"/>
      <c r="B53" s="530"/>
      <c r="C53" s="530"/>
      <c r="D53" s="530"/>
      <c r="E53" s="531"/>
      <c r="F53" s="532"/>
      <c r="G53" s="532"/>
      <c r="H53" s="532"/>
      <c r="I53" s="532"/>
      <c r="J53" s="573">
        <v>90692582257</v>
      </c>
      <c r="K53" s="533"/>
      <c r="L53" s="533"/>
      <c r="M53" s="533"/>
      <c r="N53" s="533"/>
      <c r="O53" s="533"/>
      <c r="U53" s="574" t="s">
        <v>602</v>
      </c>
      <c r="V53" s="574" t="s">
        <v>798</v>
      </c>
      <c r="W53" s="574" t="s">
        <v>799</v>
      </c>
      <c r="X53" s="574" t="s">
        <v>673</v>
      </c>
      <c r="Y53" s="575" t="s">
        <v>800</v>
      </c>
      <c r="AA53" s="574" t="s">
        <v>602</v>
      </c>
      <c r="AB53" s="574" t="s">
        <v>798</v>
      </c>
      <c r="AC53" s="574" t="s">
        <v>799</v>
      </c>
      <c r="AD53" s="574" t="s">
        <v>673</v>
      </c>
      <c r="AE53" s="575" t="s">
        <v>800</v>
      </c>
      <c r="AG53" s="405" t="s">
        <v>801</v>
      </c>
    </row>
    <row r="54" spans="1:37" ht="15.75" thickBot="1">
      <c r="A54" s="534"/>
      <c r="B54" s="530"/>
      <c r="C54" s="530"/>
      <c r="D54" s="530"/>
      <c r="E54" s="531"/>
      <c r="F54" s="532"/>
      <c r="G54" s="529"/>
      <c r="H54" s="529">
        <f>G42-G54</f>
        <v>154210833597</v>
      </c>
      <c r="I54" s="532"/>
      <c r="J54" s="531"/>
      <c r="K54" s="533"/>
      <c r="L54" s="533"/>
      <c r="M54" s="533"/>
      <c r="N54" s="533"/>
      <c r="O54" s="533"/>
      <c r="U54" s="406">
        <f>B42</f>
        <v>9255</v>
      </c>
      <c r="V54" s="406">
        <f>K42+C42</f>
        <v>3770</v>
      </c>
      <c r="W54" s="406">
        <f>L42+D42</f>
        <v>3991</v>
      </c>
      <c r="X54" s="407">
        <f>W54/B42*100</f>
        <v>43.122636412749863</v>
      </c>
      <c r="Y54" s="407">
        <f>W54/V54*100</f>
        <v>105.86206896551724</v>
      </c>
      <c r="AA54" s="406">
        <v>12431</v>
      </c>
      <c r="AB54" s="406"/>
      <c r="AC54" s="406"/>
      <c r="AD54" s="407"/>
      <c r="AE54" s="407"/>
    </row>
    <row r="55" spans="1:37">
      <c r="A55" s="534"/>
      <c r="B55" s="530"/>
      <c r="C55" s="530"/>
      <c r="D55" s="530"/>
      <c r="E55" s="531"/>
      <c r="F55" s="532"/>
      <c r="G55" s="532"/>
      <c r="H55" s="532"/>
      <c r="I55" s="532"/>
      <c r="J55" s="531"/>
      <c r="K55" s="533"/>
      <c r="L55" s="533"/>
      <c r="M55" s="533"/>
      <c r="N55" s="533"/>
      <c r="O55" s="533"/>
    </row>
    <row r="56" spans="1:37">
      <c r="A56" s="535"/>
      <c r="B56" s="533"/>
      <c r="C56" s="533"/>
      <c r="D56" s="533"/>
      <c r="E56" s="533"/>
      <c r="F56" s="533"/>
      <c r="G56" s="533"/>
      <c r="H56" s="533"/>
      <c r="I56" s="533"/>
      <c r="J56" s="533"/>
      <c r="K56" s="533"/>
      <c r="L56" s="533"/>
      <c r="M56" s="533"/>
      <c r="N56" s="533"/>
      <c r="O56" s="533"/>
    </row>
    <row r="57" spans="1:37">
      <c r="A57" s="946" t="s">
        <v>661</v>
      </c>
      <c r="B57" s="946"/>
      <c r="C57" s="946"/>
      <c r="D57" s="946"/>
      <c r="E57" s="946"/>
      <c r="F57" s="946"/>
      <c r="G57" s="946"/>
      <c r="H57" s="946"/>
      <c r="I57" s="946"/>
      <c r="J57" s="946"/>
      <c r="K57" s="946"/>
      <c r="L57" s="946"/>
      <c r="M57" s="946"/>
      <c r="N57" s="946"/>
      <c r="O57" s="946"/>
    </row>
    <row r="58" spans="1:37" ht="60">
      <c r="A58" s="947" t="s">
        <v>632</v>
      </c>
      <c r="B58" s="948" t="s">
        <v>662</v>
      </c>
      <c r="C58" s="948" t="s">
        <v>663</v>
      </c>
      <c r="D58" s="948" t="s">
        <v>640</v>
      </c>
      <c r="E58" s="948" t="s">
        <v>664</v>
      </c>
      <c r="F58" s="948" t="s">
        <v>640</v>
      </c>
      <c r="G58" s="536"/>
      <c r="H58" s="536"/>
      <c r="I58" s="536"/>
      <c r="J58" s="948" t="s">
        <v>665</v>
      </c>
      <c r="K58" s="948" t="s">
        <v>640</v>
      </c>
      <c r="L58" s="948" t="s">
        <v>666</v>
      </c>
      <c r="M58" s="948" t="s">
        <v>640</v>
      </c>
      <c r="N58" s="948" t="s">
        <v>667</v>
      </c>
      <c r="O58" s="948" t="s">
        <v>668</v>
      </c>
      <c r="V58" s="408" t="s">
        <v>602</v>
      </c>
      <c r="W58" s="408" t="s">
        <v>669</v>
      </c>
      <c r="X58" s="408" t="s">
        <v>670</v>
      </c>
      <c r="Y58" s="408" t="s">
        <v>611</v>
      </c>
      <c r="Z58" s="408" t="s">
        <v>671</v>
      </c>
      <c r="AA58" s="408" t="s">
        <v>672</v>
      </c>
      <c r="AB58" s="408" t="s">
        <v>673</v>
      </c>
    </row>
    <row r="59" spans="1:37">
      <c r="A59" s="947"/>
      <c r="B59" s="948" t="s">
        <v>674</v>
      </c>
      <c r="C59" s="948"/>
      <c r="D59" s="948"/>
      <c r="E59" s="948"/>
      <c r="F59" s="948"/>
      <c r="G59" s="536"/>
      <c r="H59" s="536"/>
      <c r="I59" s="536"/>
      <c r="J59" s="948"/>
      <c r="K59" s="948"/>
      <c r="L59" s="948"/>
      <c r="M59" s="948"/>
      <c r="N59" s="948"/>
      <c r="O59" s="948"/>
      <c r="V59" s="409">
        <v>12431</v>
      </c>
      <c r="W59" s="409">
        <f>U42</f>
        <v>0</v>
      </c>
      <c r="X59" s="410">
        <f>V42</f>
        <v>0</v>
      </c>
      <c r="Y59" s="411" t="e">
        <f>X59/W59*100</f>
        <v>#DIV/0!</v>
      </c>
      <c r="Z59" s="411">
        <f>C42+K42+U42</f>
        <v>3770</v>
      </c>
      <c r="AA59" s="412">
        <f>V42+L42+D42</f>
        <v>3991</v>
      </c>
      <c r="AB59" s="413">
        <f>AA59/B42*100</f>
        <v>43.122636412749863</v>
      </c>
    </row>
    <row r="60" spans="1:37">
      <c r="A60" s="503" t="s">
        <v>651</v>
      </c>
      <c r="B60" s="504">
        <v>768943571</v>
      </c>
      <c r="C60" s="397">
        <v>0</v>
      </c>
      <c r="D60" s="401">
        <f>C60*B60/100</f>
        <v>0</v>
      </c>
      <c r="E60" s="397">
        <v>0</v>
      </c>
      <c r="F60" s="401">
        <f>E60*D60/100</f>
        <v>0</v>
      </c>
      <c r="G60" s="401"/>
      <c r="H60" s="401"/>
      <c r="I60" s="401"/>
      <c r="J60" s="503"/>
      <c r="K60" s="401">
        <f>J60*F60/100</f>
        <v>0</v>
      </c>
      <c r="L60" s="503"/>
      <c r="M60" s="401">
        <f>L60*K60/100</f>
        <v>0</v>
      </c>
      <c r="N60" s="397">
        <f>C60+E60+J60+L60</f>
        <v>0</v>
      </c>
      <c r="O60" s="537">
        <f>N60*100</f>
        <v>0</v>
      </c>
    </row>
    <row r="61" spans="1:37">
      <c r="A61" s="503" t="s">
        <v>581</v>
      </c>
      <c r="B61" s="504"/>
      <c r="C61" s="397"/>
      <c r="D61" s="401">
        <f t="shared" ref="D61:D63" si="8">C61*B61/100</f>
        <v>0</v>
      </c>
      <c r="E61" s="397"/>
      <c r="F61" s="401">
        <f t="shared" ref="F61:F63" si="9">E61*D61/100</f>
        <v>0</v>
      </c>
      <c r="G61" s="401"/>
      <c r="H61" s="401"/>
      <c r="I61" s="401"/>
      <c r="J61" s="503"/>
      <c r="K61" s="401">
        <f>J61*F61/100</f>
        <v>0</v>
      </c>
      <c r="L61" s="503"/>
      <c r="M61" s="401">
        <f t="shared" ref="M61:M63" si="10">L61*K61/100</f>
        <v>0</v>
      </c>
      <c r="N61" s="397">
        <f>C61+E61+J61+L61</f>
        <v>0</v>
      </c>
      <c r="O61" s="537">
        <f t="shared" ref="O61:O63" si="11">N61*100</f>
        <v>0</v>
      </c>
      <c r="V61" s="949" t="s">
        <v>675</v>
      </c>
      <c r="W61" s="949"/>
      <c r="X61" s="949" t="s">
        <v>676</v>
      </c>
      <c r="Y61" s="949"/>
    </row>
    <row r="62" spans="1:37" ht="45">
      <c r="A62" s="503" t="s">
        <v>582</v>
      </c>
      <c r="B62" s="504"/>
      <c r="C62" s="397"/>
      <c r="D62" s="401">
        <f t="shared" si="8"/>
        <v>0</v>
      </c>
      <c r="E62" s="397"/>
      <c r="F62" s="401">
        <f t="shared" si="9"/>
        <v>0</v>
      </c>
      <c r="G62" s="401"/>
      <c r="H62" s="401"/>
      <c r="I62" s="401"/>
      <c r="J62" s="503"/>
      <c r="K62" s="401">
        <f>J62*F62/100</f>
        <v>0</v>
      </c>
      <c r="L62" s="503"/>
      <c r="M62" s="401">
        <f t="shared" si="10"/>
        <v>0</v>
      </c>
      <c r="N62" s="397">
        <f>C62+E62+J62+L62</f>
        <v>0</v>
      </c>
      <c r="O62" s="537">
        <f>N62*100</f>
        <v>0</v>
      </c>
      <c r="V62" s="408" t="s">
        <v>677</v>
      </c>
      <c r="W62" s="408" t="s">
        <v>678</v>
      </c>
      <c r="X62" s="408" t="s">
        <v>677</v>
      </c>
      <c r="Y62" s="408" t="s">
        <v>678</v>
      </c>
    </row>
    <row r="63" spans="1:37">
      <c r="A63" s="503" t="s">
        <v>583</v>
      </c>
      <c r="B63" s="504"/>
      <c r="C63" s="397"/>
      <c r="D63" s="401">
        <f t="shared" si="8"/>
        <v>0</v>
      </c>
      <c r="E63" s="397"/>
      <c r="F63" s="401">
        <f t="shared" si="9"/>
        <v>0</v>
      </c>
      <c r="G63" s="401"/>
      <c r="H63" s="401"/>
      <c r="I63" s="401"/>
      <c r="J63" s="503"/>
      <c r="K63" s="401">
        <f>J63*F63/100</f>
        <v>0</v>
      </c>
      <c r="L63" s="503"/>
      <c r="M63" s="401">
        <f t="shared" si="10"/>
        <v>0</v>
      </c>
      <c r="N63" s="397">
        <f>C63+E63+J63+L63</f>
        <v>0</v>
      </c>
      <c r="O63" s="537">
        <f t="shared" si="11"/>
        <v>0</v>
      </c>
      <c r="V63" s="396" t="s">
        <v>679</v>
      </c>
      <c r="W63" s="414">
        <v>126</v>
      </c>
      <c r="X63" s="396" t="s">
        <v>679</v>
      </c>
      <c r="Y63" s="414">
        <v>22</v>
      </c>
    </row>
    <row r="64" spans="1:37">
      <c r="A64" s="503"/>
      <c r="B64" s="503"/>
      <c r="C64" s="503"/>
      <c r="D64" s="503"/>
      <c r="E64" s="503"/>
      <c r="F64" s="503"/>
      <c r="G64" s="503"/>
      <c r="H64" s="503"/>
      <c r="I64" s="503"/>
      <c r="J64" s="503"/>
      <c r="K64" s="503"/>
      <c r="L64" s="503"/>
      <c r="M64" s="503"/>
      <c r="N64" s="397"/>
      <c r="O64" s="503"/>
      <c r="V64" s="396" t="s">
        <v>680</v>
      </c>
      <c r="W64" s="414">
        <v>136</v>
      </c>
      <c r="X64" s="396" t="s">
        <v>680</v>
      </c>
      <c r="Y64" s="414">
        <v>39</v>
      </c>
    </row>
    <row r="65" spans="1:33">
      <c r="A65" s="503" t="s">
        <v>652</v>
      </c>
      <c r="B65" s="504">
        <v>24542186369.194084</v>
      </c>
      <c r="C65" s="397">
        <v>0</v>
      </c>
      <c r="D65" s="401">
        <f>C65*B65/100</f>
        <v>0</v>
      </c>
      <c r="E65" s="397">
        <v>0</v>
      </c>
      <c r="F65" s="401">
        <f>E65*D65/100</f>
        <v>0</v>
      </c>
      <c r="G65" s="401"/>
      <c r="H65" s="401"/>
      <c r="I65" s="401"/>
      <c r="J65" s="503"/>
      <c r="K65" s="401">
        <f>J65*F65/100</f>
        <v>0</v>
      </c>
      <c r="L65" s="503"/>
      <c r="M65" s="401">
        <f>L65*K65/100</f>
        <v>0</v>
      </c>
      <c r="N65" s="397">
        <f>C65+E65+J65+L65</f>
        <v>0</v>
      </c>
      <c r="O65" s="537">
        <f t="shared" ref="O65:O66" si="12">N65*100</f>
        <v>0</v>
      </c>
      <c r="V65" s="396" t="s">
        <v>681</v>
      </c>
      <c r="W65" s="414">
        <v>91</v>
      </c>
      <c r="X65" s="396" t="s">
        <v>681</v>
      </c>
      <c r="Y65" s="414">
        <v>88</v>
      </c>
    </row>
    <row r="66" spans="1:33">
      <c r="A66" s="503" t="s">
        <v>581</v>
      </c>
      <c r="B66" s="504"/>
      <c r="C66" s="397"/>
      <c r="D66" s="401">
        <f t="shared" ref="D66" si="13">C66*B66/100</f>
        <v>0</v>
      </c>
      <c r="E66" s="397"/>
      <c r="F66" s="401">
        <f>E66*D66/100</f>
        <v>0</v>
      </c>
      <c r="G66" s="401"/>
      <c r="H66" s="401"/>
      <c r="I66" s="401"/>
      <c r="J66" s="503"/>
      <c r="K66" s="401">
        <f>J66*F66/100</f>
        <v>0</v>
      </c>
      <c r="L66" s="503"/>
      <c r="M66" s="401">
        <f t="shared" ref="M66" si="14">L66*K66/100</f>
        <v>0</v>
      </c>
      <c r="N66" s="397">
        <f>C66+E66+J66+L66</f>
        <v>0</v>
      </c>
      <c r="O66" s="537">
        <f t="shared" si="12"/>
        <v>0</v>
      </c>
      <c r="V66" s="416" t="s">
        <v>682</v>
      </c>
      <c r="W66" s="417">
        <f>AVERAGE(W63:W65)</f>
        <v>117.66666666666667</v>
      </c>
      <c r="X66" s="416" t="s">
        <v>682</v>
      </c>
      <c r="Y66" s="417">
        <f>AVERAGE(Y63:Y65)</f>
        <v>49.666666666666664</v>
      </c>
    </row>
    <row r="67" spans="1:33">
      <c r="A67" s="503"/>
      <c r="B67" s="504"/>
      <c r="C67" s="397"/>
      <c r="D67" s="401"/>
      <c r="E67" s="397"/>
      <c r="F67" s="401"/>
      <c r="G67" s="401"/>
      <c r="H67" s="401"/>
      <c r="I67" s="401"/>
      <c r="J67" s="503"/>
      <c r="K67" s="401"/>
      <c r="L67" s="503"/>
      <c r="M67" s="401"/>
      <c r="N67" s="397"/>
      <c r="O67" s="537"/>
      <c r="V67" s="418"/>
      <c r="W67" s="419"/>
      <c r="X67" s="420"/>
      <c r="Y67" s="421"/>
    </row>
    <row r="68" spans="1:33" ht="15" customHeight="1">
      <c r="A68" s="503" t="s">
        <v>581</v>
      </c>
      <c r="B68" s="504"/>
      <c r="C68" s="397"/>
      <c r="D68" s="401">
        <f t="shared" ref="D68:D69" si="15">C68*B68/100</f>
        <v>0</v>
      </c>
      <c r="E68" s="397"/>
      <c r="F68" s="401">
        <f>E68*D68/100</f>
        <v>0</v>
      </c>
      <c r="G68" s="401"/>
      <c r="H68" s="401"/>
      <c r="I68" s="401"/>
      <c r="J68" s="503"/>
      <c r="K68" s="401">
        <f>J68*F68/100</f>
        <v>0</v>
      </c>
      <c r="L68" s="503"/>
      <c r="M68" s="401">
        <f>L68*K68/100</f>
        <v>0</v>
      </c>
      <c r="N68" s="397">
        <f>C68+E68+J68+L68</f>
        <v>0</v>
      </c>
      <c r="O68" s="537">
        <f t="shared" ref="O68:O69" si="16">N68*100</f>
        <v>0</v>
      </c>
      <c r="V68" s="950" t="s">
        <v>683</v>
      </c>
      <c r="W68" s="951"/>
      <c r="X68" s="951"/>
      <c r="Y68" s="952"/>
      <c r="Z68" s="337"/>
    </row>
    <row r="69" spans="1:33" ht="28.5">
      <c r="A69" s="503" t="s">
        <v>582</v>
      </c>
      <c r="B69" s="504"/>
      <c r="C69" s="397"/>
      <c r="D69" s="401">
        <f t="shared" si="15"/>
        <v>0</v>
      </c>
      <c r="E69" s="397"/>
      <c r="F69" s="401">
        <f>E69*D69/100</f>
        <v>0</v>
      </c>
      <c r="G69" s="401"/>
      <c r="H69" s="401"/>
      <c r="I69" s="401"/>
      <c r="J69" s="503"/>
      <c r="K69" s="401">
        <f>J69*F69/100</f>
        <v>0</v>
      </c>
      <c r="L69" s="503"/>
      <c r="M69" s="401">
        <f>L69*K69/100</f>
        <v>0</v>
      </c>
      <c r="N69" s="397">
        <f>C69+E69+J69+L69</f>
        <v>0</v>
      </c>
      <c r="O69" s="537">
        <f t="shared" si="16"/>
        <v>0</v>
      </c>
      <c r="V69" s="422" t="s">
        <v>567</v>
      </c>
      <c r="W69" s="272" t="s">
        <v>568</v>
      </c>
      <c r="X69" s="272" t="s">
        <v>684</v>
      </c>
      <c r="Y69" s="422" t="s">
        <v>567</v>
      </c>
      <c r="Z69" s="1"/>
    </row>
    <row r="70" spans="1:33">
      <c r="A70" s="503"/>
      <c r="B70" s="503"/>
      <c r="C70" s="503"/>
      <c r="D70" s="503"/>
      <c r="E70" s="503"/>
      <c r="F70" s="503"/>
      <c r="G70" s="503"/>
      <c r="H70" s="503"/>
      <c r="I70" s="503"/>
      <c r="J70" s="503"/>
      <c r="K70" s="503"/>
      <c r="L70" s="503"/>
      <c r="M70" s="503"/>
      <c r="N70" s="397"/>
      <c r="O70" s="503"/>
      <c r="V70" s="72">
        <v>3359</v>
      </c>
      <c r="W70" s="214">
        <v>3685</v>
      </c>
      <c r="X70" s="214">
        <v>78</v>
      </c>
      <c r="Y70" s="72">
        <v>71</v>
      </c>
      <c r="Z70" s="1"/>
    </row>
    <row r="71" spans="1:33">
      <c r="A71" s="503" t="s">
        <v>654</v>
      </c>
      <c r="B71" s="504">
        <v>5129777420.6155205</v>
      </c>
      <c r="C71" s="397">
        <v>0</v>
      </c>
      <c r="D71" s="401">
        <f>C71*B71/100</f>
        <v>0</v>
      </c>
      <c r="E71" s="397">
        <v>0</v>
      </c>
      <c r="F71" s="401">
        <f>E71*D71/100</f>
        <v>0</v>
      </c>
      <c r="G71" s="401"/>
      <c r="H71" s="401"/>
      <c r="I71" s="401"/>
      <c r="J71" s="503"/>
      <c r="K71" s="401">
        <f>J71*F71/100</f>
        <v>0</v>
      </c>
      <c r="L71" s="503"/>
      <c r="M71" s="401">
        <f>L71*K71/100</f>
        <v>0</v>
      </c>
      <c r="N71" s="397">
        <f>C71+E71+J71+L71</f>
        <v>0</v>
      </c>
      <c r="O71" s="537">
        <f t="shared" ref="O71:O75" si="17">N71*100</f>
        <v>0</v>
      </c>
      <c r="V71" s="396"/>
      <c r="W71" s="396"/>
      <c r="X71" s="396"/>
      <c r="Y71" s="396"/>
    </row>
    <row r="72" spans="1:33">
      <c r="A72" s="503" t="s">
        <v>581</v>
      </c>
      <c r="B72" s="504"/>
      <c r="C72" s="397"/>
      <c r="D72" s="401">
        <f t="shared" ref="D72:D75" si="18">C72*B72/100</f>
        <v>0</v>
      </c>
      <c r="E72" s="397"/>
      <c r="F72" s="401">
        <f>E72*D72/100</f>
        <v>0</v>
      </c>
      <c r="G72" s="401"/>
      <c r="H72" s="401"/>
      <c r="I72" s="401"/>
      <c r="J72" s="503"/>
      <c r="K72" s="401">
        <f>J72*F72/100</f>
        <v>0</v>
      </c>
      <c r="L72" s="503"/>
      <c r="M72" s="401">
        <f t="shared" ref="M72:M75" si="19">L72*K72/100</f>
        <v>0</v>
      </c>
      <c r="N72" s="397">
        <f>C72+E72+J72+L72</f>
        <v>0</v>
      </c>
      <c r="O72" s="537">
        <f t="shared" si="17"/>
        <v>0</v>
      </c>
      <c r="V72" s="423">
        <f>V70+Y70</f>
        <v>3430</v>
      </c>
      <c r="W72" s="953">
        <f>W70+X70</f>
        <v>3763</v>
      </c>
      <c r="X72" s="954"/>
      <c r="Y72" s="396"/>
    </row>
    <row r="73" spans="1:33">
      <c r="A73" s="503" t="s">
        <v>582</v>
      </c>
      <c r="B73" s="504"/>
      <c r="C73" s="397"/>
      <c r="D73" s="401">
        <f t="shared" si="18"/>
        <v>0</v>
      </c>
      <c r="E73" s="397"/>
      <c r="F73" s="401">
        <f>E73*D73/100</f>
        <v>0</v>
      </c>
      <c r="G73" s="401"/>
      <c r="H73" s="401"/>
      <c r="I73" s="401"/>
      <c r="J73" s="503"/>
      <c r="K73" s="401">
        <f>J73*F73/100</f>
        <v>0</v>
      </c>
      <c r="L73" s="503"/>
      <c r="M73" s="401">
        <f t="shared" si="19"/>
        <v>0</v>
      </c>
      <c r="N73" s="397">
        <f>C73+E73+J73+L73</f>
        <v>0</v>
      </c>
      <c r="O73" s="537">
        <f t="shared" si="17"/>
        <v>0</v>
      </c>
    </row>
    <row r="74" spans="1:33" ht="75">
      <c r="A74" s="503" t="s">
        <v>583</v>
      </c>
      <c r="B74" s="504"/>
      <c r="C74" s="397"/>
      <c r="D74" s="401">
        <f t="shared" si="18"/>
        <v>0</v>
      </c>
      <c r="E74" s="397"/>
      <c r="F74" s="401">
        <f>E74*D74/100</f>
        <v>0</v>
      </c>
      <c r="G74" s="401"/>
      <c r="H74" s="401"/>
      <c r="I74" s="401"/>
      <c r="J74" s="503"/>
      <c r="K74" s="401">
        <f>J74*F74/100</f>
        <v>0</v>
      </c>
      <c r="L74" s="503"/>
      <c r="M74" s="401">
        <f t="shared" si="19"/>
        <v>0</v>
      </c>
      <c r="N74" s="397">
        <f>C74+E74+J74+L74</f>
        <v>0</v>
      </c>
      <c r="O74" s="537">
        <f t="shared" si="17"/>
        <v>0</v>
      </c>
      <c r="V74" s="408" t="s">
        <v>602</v>
      </c>
      <c r="W74" s="408" t="s">
        <v>669</v>
      </c>
      <c r="X74" s="408" t="s">
        <v>670</v>
      </c>
      <c r="Y74" s="408" t="s">
        <v>611</v>
      </c>
      <c r="Z74" s="408" t="s">
        <v>671</v>
      </c>
      <c r="AA74" s="408" t="s">
        <v>672</v>
      </c>
      <c r="AB74" s="408" t="s">
        <v>685</v>
      </c>
      <c r="AC74" s="408" t="s">
        <v>686</v>
      </c>
      <c r="AD74" s="408" t="s">
        <v>614</v>
      </c>
      <c r="AE74" s="408" t="s">
        <v>687</v>
      </c>
      <c r="AF74" s="408" t="s">
        <v>688</v>
      </c>
      <c r="AG74" s="408" t="s">
        <v>673</v>
      </c>
    </row>
    <row r="75" spans="1:33">
      <c r="A75" s="503" t="s">
        <v>588</v>
      </c>
      <c r="B75" s="504"/>
      <c r="C75" s="397"/>
      <c r="D75" s="401">
        <f t="shared" si="18"/>
        <v>0</v>
      </c>
      <c r="E75" s="397"/>
      <c r="F75" s="401">
        <f>E75*D75/100</f>
        <v>0</v>
      </c>
      <c r="G75" s="401"/>
      <c r="H75" s="401"/>
      <c r="I75" s="401"/>
      <c r="J75" s="503"/>
      <c r="K75" s="401">
        <f>J75*F75/100</f>
        <v>0</v>
      </c>
      <c r="L75" s="503"/>
      <c r="M75" s="401">
        <f t="shared" si="19"/>
        <v>0</v>
      </c>
      <c r="N75" s="397">
        <f>C75+E75+J75+L75</f>
        <v>0</v>
      </c>
      <c r="O75" s="537">
        <f t="shared" si="17"/>
        <v>0</v>
      </c>
      <c r="V75" s="409">
        <v>12431</v>
      </c>
      <c r="W75" s="409">
        <v>3763</v>
      </c>
      <c r="X75" s="410">
        <v>3430</v>
      </c>
      <c r="Y75" s="411">
        <f>X75/W75*100</f>
        <v>91.150677650810522</v>
      </c>
      <c r="Z75" s="411">
        <f>9475-7</f>
        <v>9468</v>
      </c>
      <c r="AA75" s="412">
        <f>10980-7</f>
        <v>10973</v>
      </c>
      <c r="AB75" s="412">
        <v>2955</v>
      </c>
      <c r="AC75" s="412">
        <v>2506</v>
      </c>
      <c r="AD75" s="412">
        <f>AC75/AB75*100</f>
        <v>84.805414551607456</v>
      </c>
      <c r="AE75" s="412">
        <f>Z75+AB42</f>
        <v>9468</v>
      </c>
      <c r="AF75" s="412">
        <f>AA75+AC42</f>
        <v>10973</v>
      </c>
      <c r="AG75" s="413">
        <f>AF75/U54*100</f>
        <v>118.56293895191787</v>
      </c>
    </row>
    <row r="76" spans="1:33">
      <c r="A76" s="503"/>
      <c r="B76" s="503"/>
      <c r="C76" s="503"/>
      <c r="D76" s="503"/>
      <c r="E76" s="503"/>
      <c r="F76" s="503"/>
      <c r="G76" s="503"/>
      <c r="H76" s="503"/>
      <c r="I76" s="503"/>
      <c r="J76" s="503"/>
      <c r="K76" s="503"/>
      <c r="L76" s="503"/>
      <c r="M76" s="503"/>
      <c r="N76" s="397"/>
      <c r="O76" s="503"/>
    </row>
    <row r="77" spans="1:33">
      <c r="A77" s="503" t="s">
        <v>655</v>
      </c>
      <c r="B77" s="504">
        <v>322665784.31520021</v>
      </c>
      <c r="C77" s="397">
        <v>0</v>
      </c>
      <c r="D77" s="401">
        <f>C77*B77/100</f>
        <v>0</v>
      </c>
      <c r="E77" s="397">
        <v>0</v>
      </c>
      <c r="F77" s="401">
        <f>E77*D77/100</f>
        <v>0</v>
      </c>
      <c r="G77" s="401"/>
      <c r="H77" s="401"/>
      <c r="I77" s="401"/>
      <c r="J77" s="503"/>
      <c r="K77" s="401">
        <f>J77*F77/100</f>
        <v>0</v>
      </c>
      <c r="L77" s="503"/>
      <c r="M77" s="401">
        <f>L77*K77/100</f>
        <v>0</v>
      </c>
      <c r="N77" s="397">
        <f>C77+E77+J77+L77</f>
        <v>0</v>
      </c>
      <c r="O77" s="537">
        <f t="shared" ref="O77:O79" si="20">N77*100</f>
        <v>0</v>
      </c>
    </row>
    <row r="78" spans="1:33">
      <c r="A78" s="503" t="s">
        <v>581</v>
      </c>
      <c r="B78" s="504"/>
      <c r="C78" s="397"/>
      <c r="D78" s="401">
        <f t="shared" ref="D78:D79" si="21">C78*B78/100</f>
        <v>0</v>
      </c>
      <c r="E78" s="397"/>
      <c r="F78" s="401">
        <f>E78*D78/100</f>
        <v>0</v>
      </c>
      <c r="G78" s="401"/>
      <c r="H78" s="401"/>
      <c r="I78" s="401"/>
      <c r="J78" s="503"/>
      <c r="K78" s="401">
        <f>J78*F78/100</f>
        <v>0</v>
      </c>
      <c r="L78" s="503"/>
      <c r="M78" s="401">
        <f t="shared" ref="M78:M79" si="22">L78*K78/100</f>
        <v>0</v>
      </c>
      <c r="N78" s="397">
        <f>C78+E78+J78+L78</f>
        <v>0</v>
      </c>
      <c r="O78" s="537">
        <f t="shared" si="20"/>
        <v>0</v>
      </c>
    </row>
    <row r="79" spans="1:33">
      <c r="A79" s="503" t="s">
        <v>582</v>
      </c>
      <c r="B79" s="504"/>
      <c r="C79" s="397"/>
      <c r="D79" s="401">
        <f t="shared" si="21"/>
        <v>0</v>
      </c>
      <c r="E79" s="397"/>
      <c r="F79" s="401">
        <f>E79*D79/100</f>
        <v>0</v>
      </c>
      <c r="G79" s="401"/>
      <c r="H79" s="401"/>
      <c r="I79" s="401"/>
      <c r="J79" s="503"/>
      <c r="K79" s="401">
        <f>J79*F79/100</f>
        <v>0</v>
      </c>
      <c r="L79" s="503"/>
      <c r="M79" s="401">
        <f t="shared" si="22"/>
        <v>0</v>
      </c>
      <c r="N79" s="397">
        <f>C79+E79+J79+L79</f>
        <v>0</v>
      </c>
      <c r="O79" s="537">
        <f t="shared" si="20"/>
        <v>0</v>
      </c>
    </row>
    <row r="80" spans="1:33">
      <c r="A80" s="503"/>
      <c r="B80" s="503"/>
      <c r="C80" s="503"/>
      <c r="D80" s="503"/>
      <c r="E80" s="503"/>
      <c r="F80" s="503"/>
      <c r="G80" s="503"/>
      <c r="H80" s="503"/>
      <c r="I80" s="503"/>
      <c r="J80" s="503"/>
      <c r="K80" s="503"/>
      <c r="L80" s="503"/>
      <c r="M80" s="503"/>
      <c r="N80" s="397"/>
      <c r="O80" s="503"/>
    </row>
    <row r="81" spans="1:15">
      <c r="A81" s="503" t="s">
        <v>656</v>
      </c>
      <c r="B81" s="504">
        <v>119838668.808</v>
      </c>
      <c r="C81" s="397">
        <v>0</v>
      </c>
      <c r="D81" s="401">
        <f>C81*B81/100</f>
        <v>0</v>
      </c>
      <c r="E81" s="397">
        <v>0</v>
      </c>
      <c r="F81" s="401">
        <f>E81*D81/100</f>
        <v>0</v>
      </c>
      <c r="G81" s="401"/>
      <c r="H81" s="401"/>
      <c r="I81" s="401"/>
      <c r="J81" s="503"/>
      <c r="K81" s="401">
        <f>J81*F81/100</f>
        <v>0</v>
      </c>
      <c r="L81" s="503"/>
      <c r="M81" s="401">
        <f>L81*K81/100</f>
        <v>0</v>
      </c>
      <c r="N81" s="397">
        <f>C81+E81+J81+L81</f>
        <v>0</v>
      </c>
      <c r="O81" s="537">
        <f t="shared" ref="O81:O83" si="23">N81*100</f>
        <v>0</v>
      </c>
    </row>
    <row r="82" spans="1:15">
      <c r="A82" s="503" t="s">
        <v>581</v>
      </c>
      <c r="B82" s="504"/>
      <c r="C82" s="397"/>
      <c r="D82" s="401">
        <f t="shared" ref="D82:D91" si="24">C82*B82/100</f>
        <v>0</v>
      </c>
      <c r="E82" s="397"/>
      <c r="F82" s="401">
        <f>E82*D82/100</f>
        <v>0</v>
      </c>
      <c r="G82" s="401"/>
      <c r="H82" s="401"/>
      <c r="I82" s="401"/>
      <c r="J82" s="503"/>
      <c r="K82" s="401">
        <f>J82*F82/100</f>
        <v>0</v>
      </c>
      <c r="L82" s="503"/>
      <c r="M82" s="401">
        <f t="shared" ref="M82:M83" si="25">L82*K82/100</f>
        <v>0</v>
      </c>
      <c r="N82" s="397">
        <f>C82+E82+J82+L82</f>
        <v>0</v>
      </c>
      <c r="O82" s="537">
        <f t="shared" si="23"/>
        <v>0</v>
      </c>
    </row>
    <row r="83" spans="1:15">
      <c r="A83" s="503" t="s">
        <v>582</v>
      </c>
      <c r="B83" s="504"/>
      <c r="C83" s="397"/>
      <c r="D83" s="401">
        <f t="shared" si="24"/>
        <v>0</v>
      </c>
      <c r="E83" s="397"/>
      <c r="F83" s="401">
        <f>E83*D83/100</f>
        <v>0</v>
      </c>
      <c r="G83" s="401"/>
      <c r="H83" s="401"/>
      <c r="I83" s="401"/>
      <c r="J83" s="503"/>
      <c r="K83" s="401">
        <f>J83*F83/100</f>
        <v>0</v>
      </c>
      <c r="L83" s="503"/>
      <c r="M83" s="401">
        <f t="shared" si="25"/>
        <v>0</v>
      </c>
      <c r="N83" s="397">
        <f>C83+E83+J83+L83</f>
        <v>0</v>
      </c>
      <c r="O83" s="537">
        <f t="shared" si="23"/>
        <v>0</v>
      </c>
    </row>
    <row r="84" spans="1:15">
      <c r="A84" s="503"/>
      <c r="B84" s="503"/>
      <c r="C84" s="503"/>
      <c r="D84" s="503"/>
      <c r="E84" s="503"/>
      <c r="F84" s="503"/>
      <c r="G84" s="503"/>
      <c r="H84" s="503"/>
      <c r="I84" s="503"/>
      <c r="J84" s="503"/>
      <c r="K84" s="503"/>
      <c r="L84" s="503"/>
      <c r="M84" s="503"/>
      <c r="N84" s="397"/>
      <c r="O84" s="503"/>
    </row>
    <row r="85" spans="1:15">
      <c r="A85" s="503" t="s">
        <v>657</v>
      </c>
      <c r="B85" s="504">
        <v>636777246</v>
      </c>
      <c r="C85" s="397">
        <v>0</v>
      </c>
      <c r="D85" s="401">
        <f t="shared" si="24"/>
        <v>0</v>
      </c>
      <c r="E85" s="397">
        <v>0</v>
      </c>
      <c r="F85" s="401">
        <f>E85*D85/100</f>
        <v>0</v>
      </c>
      <c r="G85" s="401"/>
      <c r="H85" s="401"/>
      <c r="I85" s="401"/>
      <c r="J85" s="503"/>
      <c r="K85" s="401">
        <f>J85*F85/100</f>
        <v>0</v>
      </c>
      <c r="L85" s="503"/>
      <c r="M85" s="401">
        <f>L85*K85/100</f>
        <v>0</v>
      </c>
      <c r="N85" s="397">
        <f>C85+E85+J85+L85</f>
        <v>0</v>
      </c>
      <c r="O85" s="537">
        <f t="shared" ref="O85:O86" si="26">N85*100</f>
        <v>0</v>
      </c>
    </row>
    <row r="86" spans="1:15">
      <c r="A86" s="503" t="s">
        <v>581</v>
      </c>
      <c r="B86" s="504"/>
      <c r="C86" s="397"/>
      <c r="D86" s="401">
        <f t="shared" si="24"/>
        <v>0</v>
      </c>
      <c r="E86" s="397"/>
      <c r="F86" s="401">
        <f>E86*D86/100</f>
        <v>0</v>
      </c>
      <c r="G86" s="401"/>
      <c r="H86" s="401"/>
      <c r="I86" s="401"/>
      <c r="J86" s="503"/>
      <c r="K86" s="401">
        <f>J86*F86/100</f>
        <v>0</v>
      </c>
      <c r="L86" s="503"/>
      <c r="M86" s="401">
        <f>L86*K86/100</f>
        <v>0</v>
      </c>
      <c r="N86" s="397">
        <f>C86+E86+J86+L86</f>
        <v>0</v>
      </c>
      <c r="O86" s="537">
        <f t="shared" si="26"/>
        <v>0</v>
      </c>
    </row>
    <row r="87" spans="1:15">
      <c r="A87" s="503"/>
      <c r="B87" s="503"/>
      <c r="C87" s="503"/>
      <c r="D87" s="503"/>
      <c r="E87" s="503"/>
      <c r="F87" s="503"/>
      <c r="G87" s="503"/>
      <c r="H87" s="503"/>
      <c r="I87" s="503"/>
      <c r="J87" s="503"/>
      <c r="K87" s="503"/>
      <c r="L87" s="503"/>
      <c r="M87" s="503"/>
      <c r="N87" s="397"/>
      <c r="O87" s="503"/>
    </row>
    <row r="88" spans="1:15">
      <c r="A88" s="503" t="s">
        <v>658</v>
      </c>
      <c r="B88" s="504">
        <v>2100195606.0671997</v>
      </c>
      <c r="C88" s="397">
        <v>0</v>
      </c>
      <c r="D88" s="401">
        <f t="shared" si="24"/>
        <v>0</v>
      </c>
      <c r="E88" s="397">
        <v>0</v>
      </c>
      <c r="F88" s="401">
        <f>E88*D88/100</f>
        <v>0</v>
      </c>
      <c r="G88" s="401"/>
      <c r="H88" s="401"/>
      <c r="I88" s="401"/>
      <c r="J88" s="503"/>
      <c r="K88" s="401">
        <f>J88*F88/100</f>
        <v>0</v>
      </c>
      <c r="L88" s="503"/>
      <c r="M88" s="401">
        <f>L88*K88/100</f>
        <v>0</v>
      </c>
      <c r="N88" s="397">
        <f>C88+E88+J88+L88</f>
        <v>0</v>
      </c>
      <c r="O88" s="537">
        <f t="shared" ref="O88:O91" si="27">N88*100</f>
        <v>0</v>
      </c>
    </row>
    <row r="89" spans="1:15">
      <c r="A89" s="503" t="s">
        <v>581</v>
      </c>
      <c r="B89" s="504"/>
      <c r="C89" s="397"/>
      <c r="D89" s="401">
        <f t="shared" si="24"/>
        <v>0</v>
      </c>
      <c r="E89" s="397"/>
      <c r="F89" s="401">
        <f>E89*D89/100</f>
        <v>0</v>
      </c>
      <c r="G89" s="401"/>
      <c r="H89" s="401"/>
      <c r="I89" s="401"/>
      <c r="J89" s="503"/>
      <c r="K89" s="401">
        <f>J89*F89/100</f>
        <v>0</v>
      </c>
      <c r="L89" s="503"/>
      <c r="M89" s="401">
        <f t="shared" ref="M89:M91" si="28">L89*K89/100</f>
        <v>0</v>
      </c>
      <c r="N89" s="397">
        <f>C89+E89+J89+L89</f>
        <v>0</v>
      </c>
      <c r="O89" s="537">
        <f t="shared" si="27"/>
        <v>0</v>
      </c>
    </row>
    <row r="90" spans="1:15">
      <c r="A90" s="503" t="s">
        <v>582</v>
      </c>
      <c r="B90" s="504"/>
      <c r="C90" s="397"/>
      <c r="D90" s="401">
        <f t="shared" si="24"/>
        <v>0</v>
      </c>
      <c r="E90" s="397"/>
      <c r="F90" s="401">
        <f>E90*D90/100</f>
        <v>0</v>
      </c>
      <c r="G90" s="401"/>
      <c r="H90" s="401"/>
      <c r="I90" s="401"/>
      <c r="J90" s="503"/>
      <c r="K90" s="401">
        <f>J90*F90/100</f>
        <v>0</v>
      </c>
      <c r="L90" s="503"/>
      <c r="M90" s="401">
        <f t="shared" si="28"/>
        <v>0</v>
      </c>
      <c r="N90" s="397">
        <f>C90+E90+J90+L90</f>
        <v>0</v>
      </c>
      <c r="O90" s="537">
        <f t="shared" si="27"/>
        <v>0</v>
      </c>
    </row>
    <row r="91" spans="1:15">
      <c r="A91" s="503" t="s">
        <v>583</v>
      </c>
      <c r="B91" s="504"/>
      <c r="C91" s="397"/>
      <c r="D91" s="401">
        <f t="shared" si="24"/>
        <v>0</v>
      </c>
      <c r="E91" s="397"/>
      <c r="F91" s="401">
        <f>E91*D91/100</f>
        <v>0</v>
      </c>
      <c r="G91" s="401"/>
      <c r="H91" s="401"/>
      <c r="I91" s="401"/>
      <c r="J91" s="503"/>
      <c r="K91" s="401">
        <f>J91*F91/100</f>
        <v>0</v>
      </c>
      <c r="L91" s="503"/>
      <c r="M91" s="401">
        <f t="shared" si="28"/>
        <v>0</v>
      </c>
      <c r="N91" s="397">
        <f>C91+E91+J91+L91</f>
        <v>0</v>
      </c>
      <c r="O91" s="537">
        <f t="shared" si="27"/>
        <v>0</v>
      </c>
    </row>
    <row r="92" spans="1:15">
      <c r="A92" s="503"/>
      <c r="B92" s="503"/>
      <c r="C92" s="503"/>
      <c r="D92" s="503"/>
      <c r="E92" s="503"/>
      <c r="F92" s="503"/>
      <c r="G92" s="503"/>
      <c r="H92" s="503"/>
      <c r="I92" s="503"/>
      <c r="J92" s="503"/>
      <c r="K92" s="503"/>
      <c r="L92" s="503"/>
      <c r="M92" s="503"/>
      <c r="N92" s="503"/>
      <c r="O92" s="503"/>
    </row>
    <row r="93" spans="1:15">
      <c r="A93" s="424" t="s">
        <v>689</v>
      </c>
      <c r="B93" s="425" t="e">
        <f>B88+B85+B81+B77+B71+#REF!+B65+B60</f>
        <v>#REF!</v>
      </c>
      <c r="C93" s="425" t="e">
        <f>C88+C85+C81+C77+C71+#REF!+C65+C60</f>
        <v>#REF!</v>
      </c>
      <c r="D93" s="425">
        <f>SUM(D60:D88)</f>
        <v>0</v>
      </c>
      <c r="E93" s="425" t="e">
        <f>E88+E85+E81+E77+E71+#REF!+E65+E60</f>
        <v>#REF!</v>
      </c>
      <c r="F93" s="425">
        <f>SUM(F60:F88)</f>
        <v>0</v>
      </c>
      <c r="G93" s="425"/>
      <c r="H93" s="425"/>
      <c r="I93" s="425"/>
      <c r="J93" s="425" t="e">
        <f>J88+J85+J81+J77+J71+#REF!+J65+J60</f>
        <v>#REF!</v>
      </c>
      <c r="K93" s="425">
        <f t="shared" ref="K93:O93" si="29">SUM(K60:K88)</f>
        <v>0</v>
      </c>
      <c r="L93" s="425" t="e">
        <f>L88+L85+L81+L77+L71+#REF!+L65+L60</f>
        <v>#REF!</v>
      </c>
      <c r="M93" s="425">
        <f t="shared" si="29"/>
        <v>0</v>
      </c>
      <c r="N93" s="425" t="e">
        <f>N88+N85+N81+N77+N71+#REF!+N65+N60</f>
        <v>#REF!</v>
      </c>
      <c r="O93" s="425">
        <f t="shared" si="29"/>
        <v>0</v>
      </c>
    </row>
    <row r="103" spans="1:11">
      <c r="A103" s="955" t="s">
        <v>690</v>
      </c>
      <c r="B103" s="955" t="s">
        <v>691</v>
      </c>
      <c r="C103" s="955" t="s">
        <v>692</v>
      </c>
      <c r="D103" s="955"/>
      <c r="E103" s="955" t="s">
        <v>693</v>
      </c>
      <c r="F103" s="955" t="s">
        <v>638</v>
      </c>
      <c r="G103" s="426"/>
      <c r="H103" s="426"/>
      <c r="I103" s="426"/>
      <c r="J103" s="955" t="s">
        <v>694</v>
      </c>
      <c r="K103" s="956" t="s">
        <v>695</v>
      </c>
    </row>
    <row r="104" spans="1:11" ht="35.25" customHeight="1">
      <c r="A104" s="955"/>
      <c r="B104" s="955"/>
      <c r="C104" s="426" t="s">
        <v>696</v>
      </c>
      <c r="D104" s="426" t="s">
        <v>678</v>
      </c>
      <c r="E104" s="955"/>
      <c r="F104" s="955"/>
      <c r="G104" s="426"/>
      <c r="H104" s="426"/>
      <c r="I104" s="426"/>
      <c r="J104" s="955"/>
      <c r="K104" s="957"/>
    </row>
    <row r="105" spans="1:11" ht="42.75">
      <c r="A105" s="427" t="s">
        <v>697</v>
      </c>
      <c r="B105" s="428">
        <v>52</v>
      </c>
      <c r="C105" s="428">
        <v>21</v>
      </c>
      <c r="D105" s="428">
        <v>25</v>
      </c>
      <c r="E105" s="429">
        <v>0.40384615384615385</v>
      </c>
      <c r="F105" s="427"/>
      <c r="G105" s="427"/>
      <c r="H105" s="427"/>
      <c r="I105" s="427"/>
      <c r="J105" s="427"/>
      <c r="K105" s="427"/>
    </row>
    <row r="106" spans="1:11" ht="42.75">
      <c r="A106" s="427" t="s">
        <v>698</v>
      </c>
      <c r="B106" s="427"/>
      <c r="C106" s="427"/>
      <c r="D106" s="427"/>
      <c r="E106" s="427"/>
      <c r="F106" s="427"/>
      <c r="G106" s="427"/>
      <c r="H106" s="427"/>
      <c r="I106" s="427"/>
      <c r="J106" s="427"/>
      <c r="K106" s="427"/>
    </row>
    <row r="107" spans="1:11" ht="42.75">
      <c r="A107" s="427" t="s">
        <v>699</v>
      </c>
      <c r="B107" s="427"/>
      <c r="C107" s="427"/>
      <c r="D107" s="427"/>
      <c r="E107" s="427"/>
      <c r="F107" s="427"/>
      <c r="G107" s="427"/>
      <c r="H107" s="427"/>
      <c r="I107" s="427"/>
      <c r="J107" s="427"/>
      <c r="K107" s="427"/>
    </row>
    <row r="108" spans="1:11" ht="28.5">
      <c r="A108" s="427" t="s">
        <v>700</v>
      </c>
      <c r="B108" s="427"/>
      <c r="C108" s="427"/>
      <c r="D108" s="427"/>
      <c r="E108" s="427"/>
      <c r="F108" s="427"/>
      <c r="G108" s="427"/>
      <c r="H108" s="427"/>
      <c r="I108" s="427"/>
      <c r="J108" s="427"/>
      <c r="K108" s="427"/>
    </row>
    <row r="109" spans="1:11" ht="42.75">
      <c r="A109" s="427" t="s">
        <v>701</v>
      </c>
      <c r="B109" s="427"/>
      <c r="C109" s="427"/>
      <c r="D109" s="427"/>
      <c r="E109" s="427"/>
      <c r="F109" s="427"/>
      <c r="G109" s="427"/>
      <c r="H109" s="427"/>
      <c r="I109" s="427"/>
      <c r="J109" s="427"/>
      <c r="K109" s="427"/>
    </row>
    <row r="110" spans="1:11" ht="42.75">
      <c r="A110" s="427" t="s">
        <v>702</v>
      </c>
      <c r="B110" s="427"/>
      <c r="C110" s="427"/>
      <c r="D110" s="427"/>
      <c r="E110" s="427"/>
      <c r="F110" s="427"/>
      <c r="G110" s="427"/>
      <c r="H110" s="427"/>
      <c r="I110" s="427"/>
      <c r="J110" s="427"/>
      <c r="K110" s="427"/>
    </row>
    <row r="111" spans="1:11" ht="42.75">
      <c r="A111" s="427" t="s">
        <v>703</v>
      </c>
      <c r="B111" s="427"/>
      <c r="C111" s="427"/>
      <c r="D111" s="427"/>
      <c r="E111" s="427"/>
      <c r="F111" s="427"/>
      <c r="G111" s="427"/>
      <c r="H111" s="427"/>
      <c r="I111" s="427"/>
      <c r="J111" s="427"/>
      <c r="K111" s="427"/>
    </row>
    <row r="112" spans="1:11" ht="57">
      <c r="A112" s="427" t="s">
        <v>704</v>
      </c>
      <c r="B112" s="427"/>
      <c r="C112" s="427"/>
      <c r="D112" s="427"/>
      <c r="E112" s="427"/>
      <c r="F112" s="427"/>
      <c r="G112" s="427"/>
      <c r="H112" s="427"/>
      <c r="I112" s="427"/>
      <c r="J112" s="427"/>
      <c r="K112" s="427"/>
    </row>
  </sheetData>
  <mergeCells count="69">
    <mergeCell ref="G38:G40"/>
    <mergeCell ref="I38:I40"/>
    <mergeCell ref="H38:H40"/>
    <mergeCell ref="A2:AK3"/>
    <mergeCell ref="A4:J4"/>
    <mergeCell ref="K4:Q4"/>
    <mergeCell ref="R4:R6"/>
    <mergeCell ref="S4:S6"/>
    <mergeCell ref="T4:T6"/>
    <mergeCell ref="U4:AA4"/>
    <mergeCell ref="AB4:AH4"/>
    <mergeCell ref="AI4:AI6"/>
    <mergeCell ref="AJ4:AJ6"/>
    <mergeCell ref="AK4:AK6"/>
    <mergeCell ref="A5:A6"/>
    <mergeCell ref="B5:B6"/>
    <mergeCell ref="C5:C6"/>
    <mergeCell ref="D5:D6"/>
    <mergeCell ref="E5:E6"/>
    <mergeCell ref="F5:F6"/>
    <mergeCell ref="G5:G6"/>
    <mergeCell ref="H5:H6"/>
    <mergeCell ref="I5:I6"/>
    <mergeCell ref="X5:X6"/>
    <mergeCell ref="J5:J6"/>
    <mergeCell ref="K5:K6"/>
    <mergeCell ref="L5:L6"/>
    <mergeCell ref="M5:M6"/>
    <mergeCell ref="N5:N6"/>
    <mergeCell ref="O5:O6"/>
    <mergeCell ref="A58:A59"/>
    <mergeCell ref="B58:B59"/>
    <mergeCell ref="C58:C59"/>
    <mergeCell ref="D58:D59"/>
    <mergeCell ref="E58:E59"/>
    <mergeCell ref="AE5:AE6"/>
    <mergeCell ref="AF5:AF6"/>
    <mergeCell ref="AG5:AG6"/>
    <mergeCell ref="AH5:AH6"/>
    <mergeCell ref="A57:O57"/>
    <mergeCell ref="Y5:Y6"/>
    <mergeCell ref="Z5:Z6"/>
    <mergeCell ref="AA5:AA6"/>
    <mergeCell ref="AB5:AB6"/>
    <mergeCell ref="AC5:AC6"/>
    <mergeCell ref="AD5:AD6"/>
    <mergeCell ref="P5:P6"/>
    <mergeCell ref="Q5:Q6"/>
    <mergeCell ref="U5:U6"/>
    <mergeCell ref="V5:V6"/>
    <mergeCell ref="W5:W6"/>
    <mergeCell ref="F58:F59"/>
    <mergeCell ref="J58:J59"/>
    <mergeCell ref="K58:K59"/>
    <mergeCell ref="L58:L59"/>
    <mergeCell ref="M58:M59"/>
    <mergeCell ref="A103:A104"/>
    <mergeCell ref="B103:B104"/>
    <mergeCell ref="C103:D103"/>
    <mergeCell ref="E103:E104"/>
    <mergeCell ref="F103:F104"/>
    <mergeCell ref="J103:J104"/>
    <mergeCell ref="K103:K104"/>
    <mergeCell ref="O58:O59"/>
    <mergeCell ref="V61:W61"/>
    <mergeCell ref="X61:Y61"/>
    <mergeCell ref="V68:Y68"/>
    <mergeCell ref="W72:X72"/>
    <mergeCell ref="N58:N59"/>
  </mergeCells>
  <pageMargins left="0.7" right="0.7" top="0.75" bottom="0.75" header="0.3" footer="0.3"/>
  <pageSetup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4B7E7-2E5B-4620-8FA0-0D377EC9EBC4}">
  <dimension ref="A2:U23"/>
  <sheetViews>
    <sheetView topLeftCell="A25" workbookViewId="0">
      <selection activeCell="D9" sqref="D9:D10"/>
    </sheetView>
  </sheetViews>
  <sheetFormatPr defaultColWidth="11" defaultRowHeight="15"/>
  <cols>
    <col min="1" max="1" width="44.875" customWidth="1"/>
    <col min="2" max="2" width="55.625" customWidth="1"/>
    <col min="3" max="3" width="24.625" customWidth="1"/>
    <col min="4" max="4" width="27" customWidth="1"/>
    <col min="5" max="5" width="22.625" customWidth="1"/>
    <col min="6" max="6" width="20.125" customWidth="1"/>
    <col min="7" max="7" width="18.75" customWidth="1"/>
    <col min="8" max="8" width="23.125" customWidth="1"/>
  </cols>
  <sheetData>
    <row r="2" spans="1:8">
      <c r="A2" s="977" t="s">
        <v>802</v>
      </c>
      <c r="B2" s="977"/>
      <c r="C2" s="977"/>
      <c r="D2" s="977"/>
      <c r="E2" s="977"/>
      <c r="F2" s="977"/>
      <c r="G2" s="977"/>
      <c r="H2" s="977"/>
    </row>
    <row r="3" spans="1:8" ht="45">
      <c r="A3" s="227" t="s">
        <v>712</v>
      </c>
      <c r="B3" s="227" t="s">
        <v>713</v>
      </c>
      <c r="C3" s="227" t="s">
        <v>714</v>
      </c>
      <c r="D3" s="227" t="s">
        <v>715</v>
      </c>
      <c r="E3" s="216" t="s">
        <v>716</v>
      </c>
      <c r="F3" s="216" t="s">
        <v>717</v>
      </c>
      <c r="G3" s="216" t="s">
        <v>803</v>
      </c>
      <c r="H3" s="216" t="s">
        <v>804</v>
      </c>
    </row>
    <row r="4" spans="1:8">
      <c r="A4" s="1056" t="s">
        <v>8</v>
      </c>
      <c r="B4" s="347" t="s">
        <v>65</v>
      </c>
      <c r="C4" s="514">
        <v>648375074</v>
      </c>
      <c r="D4" s="978">
        <f>C4+C5+C6</f>
        <v>876375074</v>
      </c>
      <c r="E4" s="351">
        <f>C4/D4*100</f>
        <v>73.983742034178391</v>
      </c>
      <c r="F4" s="1062">
        <f>D4/C23*100</f>
        <v>0.56829669716346631</v>
      </c>
      <c r="G4" s="396"/>
      <c r="H4" s="396"/>
    </row>
    <row r="5" spans="1:8" ht="29.25">
      <c r="A5" s="1058"/>
      <c r="B5" s="347" t="s">
        <v>718</v>
      </c>
      <c r="C5" s="514">
        <v>114000000</v>
      </c>
      <c r="D5" s="978"/>
      <c r="E5" s="351">
        <f>C5/D4*100</f>
        <v>13.008128982910803</v>
      </c>
      <c r="F5" s="1063"/>
      <c r="G5" s="396"/>
      <c r="H5" s="396"/>
    </row>
    <row r="6" spans="1:8" ht="29.25">
      <c r="A6" s="1057"/>
      <c r="B6" s="347" t="s">
        <v>102</v>
      </c>
      <c r="C6" s="514">
        <v>114000000</v>
      </c>
      <c r="D6" s="978"/>
      <c r="E6" s="351">
        <f>C6/D4*100</f>
        <v>13.008128982910803</v>
      </c>
      <c r="F6" s="1064"/>
      <c r="G6" s="396"/>
      <c r="H6" s="396"/>
    </row>
    <row r="7" spans="1:8" ht="28.5">
      <c r="A7" s="1056" t="s">
        <v>116</v>
      </c>
      <c r="B7" s="346" t="s">
        <v>118</v>
      </c>
      <c r="C7" s="514">
        <v>3136460946</v>
      </c>
      <c r="D7" s="962">
        <f>C7+C8</f>
        <v>59599968609</v>
      </c>
      <c r="E7" s="351">
        <f>C7/D7*100</f>
        <v>5.2625211375134402</v>
      </c>
      <c r="F7" s="964">
        <f>D7/C23*100</f>
        <v>38.648366796818515</v>
      </c>
      <c r="G7" s="396"/>
      <c r="H7" s="396"/>
    </row>
    <row r="8" spans="1:8" ht="28.5">
      <c r="A8" s="1057"/>
      <c r="B8" s="346" t="s">
        <v>719</v>
      </c>
      <c r="C8" s="514">
        <v>56463507663</v>
      </c>
      <c r="D8" s="963"/>
      <c r="E8" s="351">
        <f>C8/D7*100</f>
        <v>94.737478862486554</v>
      </c>
      <c r="F8" s="965"/>
      <c r="G8" s="396"/>
      <c r="H8" s="396"/>
    </row>
    <row r="9" spans="1:8" ht="43.5">
      <c r="A9" s="1056" t="s">
        <v>720</v>
      </c>
      <c r="B9" s="347" t="s">
        <v>721</v>
      </c>
      <c r="C9" s="514">
        <f>72570547694+2777145000+335796722</f>
        <v>75683489416</v>
      </c>
      <c r="D9" s="962">
        <f>C9+C10</f>
        <v>86291752748</v>
      </c>
      <c r="E9" s="351">
        <f>C9/D9*100</f>
        <v>87.706515403645142</v>
      </c>
      <c r="F9" s="964">
        <f>D9/C23*100</f>
        <v>55.956997790120703</v>
      </c>
      <c r="G9" s="396"/>
      <c r="H9" s="396"/>
    </row>
    <row r="10" spans="1:8" ht="57.75">
      <c r="A10" s="1057"/>
      <c r="B10" s="347" t="s">
        <v>722</v>
      </c>
      <c r="C10" s="514">
        <v>10608263332</v>
      </c>
      <c r="D10" s="963"/>
      <c r="E10" s="351">
        <f>C10/D9*100</f>
        <v>12.293484596354858</v>
      </c>
      <c r="F10" s="965"/>
      <c r="G10" s="396"/>
      <c r="H10" s="396"/>
    </row>
    <row r="11" spans="1:8" ht="29.25">
      <c r="A11" s="1059" t="s">
        <v>723</v>
      </c>
      <c r="B11" s="347" t="s">
        <v>316</v>
      </c>
      <c r="C11" s="523">
        <v>0</v>
      </c>
      <c r="D11" s="962">
        <f>C11+C12+C13+C14</f>
        <v>4099902821</v>
      </c>
      <c r="E11" s="214">
        <v>0</v>
      </c>
      <c r="F11" s="964">
        <f>D11/C23*100</f>
        <v>2.6586347569550774</v>
      </c>
      <c r="G11" s="396"/>
      <c r="H11" s="396"/>
    </row>
    <row r="12" spans="1:8">
      <c r="A12" s="1060"/>
      <c r="B12" s="350" t="s">
        <v>724</v>
      </c>
      <c r="C12" s="514">
        <v>262068277</v>
      </c>
      <c r="D12" s="971"/>
      <c r="E12" s="351">
        <f>C12/D11*100</f>
        <v>6.3920607009919177</v>
      </c>
      <c r="F12" s="973"/>
      <c r="G12" s="396"/>
      <c r="H12" s="396"/>
    </row>
    <row r="13" spans="1:8">
      <c r="A13" s="1060"/>
      <c r="B13" s="347" t="s">
        <v>725</v>
      </c>
      <c r="C13" s="514">
        <v>295834544</v>
      </c>
      <c r="D13" s="971"/>
      <c r="E13" s="351">
        <f>C13/D11*100</f>
        <v>7.2156477096167739</v>
      </c>
      <c r="F13" s="973"/>
      <c r="G13" s="396"/>
      <c r="H13" s="396"/>
    </row>
    <row r="14" spans="1:8" ht="29.25">
      <c r="A14" s="1061"/>
      <c r="B14" s="347" t="s">
        <v>726</v>
      </c>
      <c r="C14" s="514">
        <v>3542000000</v>
      </c>
      <c r="D14" s="963"/>
      <c r="E14" s="351">
        <f>C14/D11*100</f>
        <v>86.392291589391306</v>
      </c>
      <c r="F14" s="965"/>
      <c r="G14" s="396"/>
      <c r="H14" s="396"/>
    </row>
    <row r="15" spans="1:8" ht="29.25">
      <c r="A15" s="1056" t="s">
        <v>379</v>
      </c>
      <c r="B15" s="347" t="s">
        <v>381</v>
      </c>
      <c r="C15" s="514">
        <v>184000000</v>
      </c>
      <c r="D15" s="962">
        <f>C15+C16</f>
        <v>425717734</v>
      </c>
      <c r="E15" s="351">
        <f>C15/D15*100</f>
        <v>43.221126418943122</v>
      </c>
      <c r="F15" s="964">
        <f>D15/C23*100</f>
        <v>0.2760621443189461</v>
      </c>
      <c r="G15" s="396"/>
      <c r="H15" s="396"/>
    </row>
    <row r="16" spans="1:8" ht="28.5" customHeight="1">
      <c r="A16" s="1057"/>
      <c r="B16" s="350" t="s">
        <v>399</v>
      </c>
      <c r="C16" s="514">
        <v>241717734</v>
      </c>
      <c r="D16" s="963"/>
      <c r="E16" s="351">
        <f>C16/D15*100</f>
        <v>56.778873581056878</v>
      </c>
      <c r="F16" s="965"/>
      <c r="G16" s="396"/>
      <c r="H16" s="396"/>
    </row>
    <row r="17" spans="1:21" ht="29.25">
      <c r="A17" s="1056" t="s">
        <v>727</v>
      </c>
      <c r="B17" s="347" t="s">
        <v>424</v>
      </c>
      <c r="C17" s="514">
        <v>252052566</v>
      </c>
      <c r="D17" s="962">
        <f>C17+C18</f>
        <v>252052566</v>
      </c>
      <c r="E17" s="214">
        <f>C17/D17*100</f>
        <v>100</v>
      </c>
      <c r="F17" s="964">
        <f>D17/C23*100</f>
        <v>0.16344673076516164</v>
      </c>
      <c r="G17" s="396"/>
      <c r="H17" s="396"/>
    </row>
    <row r="18" spans="1:21" ht="29.25">
      <c r="A18" s="1057"/>
      <c r="B18" s="347" t="s">
        <v>436</v>
      </c>
      <c r="C18" s="514">
        <v>0</v>
      </c>
      <c r="D18" s="963"/>
      <c r="E18" s="214">
        <v>0</v>
      </c>
      <c r="F18" s="965"/>
      <c r="G18" s="396"/>
      <c r="H18" s="396"/>
    </row>
    <row r="19" spans="1:21" ht="30">
      <c r="A19" s="382" t="s">
        <v>728</v>
      </c>
      <c r="B19" s="347" t="s">
        <v>729</v>
      </c>
      <c r="C19" s="514">
        <v>392400000</v>
      </c>
      <c r="D19" s="353">
        <f>C19</f>
        <v>392400000</v>
      </c>
      <c r="E19" s="214">
        <f>D19/C19*100</f>
        <v>100</v>
      </c>
      <c r="F19" s="351">
        <f>D19/C23*100</f>
        <v>0.25445683085110676</v>
      </c>
      <c r="G19" s="396"/>
      <c r="H19" s="396"/>
    </row>
    <row r="20" spans="1:21">
      <c r="A20" s="1056" t="s">
        <v>730</v>
      </c>
      <c r="B20" s="354" t="s">
        <v>731</v>
      </c>
      <c r="C20" s="943">
        <v>2272664045</v>
      </c>
      <c r="D20" s="970">
        <f>C20</f>
        <v>2272664045</v>
      </c>
      <c r="E20" s="972">
        <f>C20/D20*100</f>
        <v>100</v>
      </c>
      <c r="F20" s="964">
        <f>D20/C23*100</f>
        <v>1.4737382530070262</v>
      </c>
      <c r="G20" s="396"/>
      <c r="H20" s="396"/>
    </row>
    <row r="21" spans="1:21">
      <c r="A21" s="1058"/>
      <c r="B21" s="354" t="s">
        <v>732</v>
      </c>
      <c r="C21" s="944"/>
      <c r="D21" s="971"/>
      <c r="E21" s="971"/>
      <c r="F21" s="973"/>
      <c r="G21" s="396"/>
      <c r="H21" s="396"/>
      <c r="U21" t="s">
        <v>733</v>
      </c>
    </row>
    <row r="22" spans="1:21">
      <c r="A22" s="1057"/>
      <c r="B22" s="354" t="s">
        <v>544</v>
      </c>
      <c r="C22" s="945"/>
      <c r="D22" s="963"/>
      <c r="E22" s="963"/>
      <c r="F22" s="965"/>
      <c r="G22" s="396"/>
      <c r="H22" s="396"/>
    </row>
    <row r="23" spans="1:21">
      <c r="A23" s="958" t="s">
        <v>682</v>
      </c>
      <c r="B23" s="959"/>
      <c r="C23" s="355">
        <f>SUM(C4:C22)</f>
        <v>154210833597</v>
      </c>
      <c r="D23" s="355">
        <f>SUM(D4:D22)</f>
        <v>154210833597</v>
      </c>
      <c r="E23" s="356"/>
      <c r="F23" s="356">
        <f>SUM(F4:F22)</f>
        <v>100</v>
      </c>
      <c r="G23" s="396"/>
      <c r="H23" s="396"/>
    </row>
  </sheetData>
  <mergeCells count="25">
    <mergeCell ref="A2:H2"/>
    <mergeCell ref="A4:A6"/>
    <mergeCell ref="D4:D6"/>
    <mergeCell ref="F4:F6"/>
    <mergeCell ref="A7:A8"/>
    <mergeCell ref="D7:D8"/>
    <mergeCell ref="F7:F8"/>
    <mergeCell ref="A9:A10"/>
    <mergeCell ref="D9:D10"/>
    <mergeCell ref="F9:F10"/>
    <mergeCell ref="A11:A14"/>
    <mergeCell ref="D11:D14"/>
    <mergeCell ref="F11:F14"/>
    <mergeCell ref="A23:B23"/>
    <mergeCell ref="A15:A16"/>
    <mergeCell ref="D15:D16"/>
    <mergeCell ref="F15:F16"/>
    <mergeCell ref="A17:A18"/>
    <mergeCell ref="D17:D18"/>
    <mergeCell ref="F17:F18"/>
    <mergeCell ref="A20:A22"/>
    <mergeCell ref="C20:C22"/>
    <mergeCell ref="D20:D22"/>
    <mergeCell ref="E20:E22"/>
    <mergeCell ref="F20:F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8285-2259-4FEC-8C46-99F98EF93994}">
  <dimension ref="A1:R46"/>
  <sheetViews>
    <sheetView workbookViewId="0">
      <selection activeCell="F7" sqref="F7"/>
    </sheetView>
  </sheetViews>
  <sheetFormatPr defaultColWidth="11" defaultRowHeight="15"/>
  <cols>
    <col min="1" max="1" width="17.375" customWidth="1"/>
    <col min="2" max="2" width="23.25" customWidth="1"/>
    <col min="3" max="3" width="15.375" customWidth="1"/>
    <col min="4" max="4" width="15.875" customWidth="1"/>
    <col min="5" max="5" width="17.125" customWidth="1"/>
    <col min="6" max="6" width="18.375" customWidth="1"/>
    <col min="7" max="7" width="24.125" hidden="1" customWidth="1"/>
    <col min="8" max="8" width="22.375" customWidth="1"/>
    <col min="9" max="9" width="17.625" customWidth="1"/>
    <col min="10" max="10" width="17.125" customWidth="1"/>
    <col min="11" max="11" width="21.625" customWidth="1"/>
    <col min="12" max="12" width="16.375" customWidth="1"/>
    <col min="13" max="13" width="19.125" hidden="1" customWidth="1"/>
    <col min="14" max="14" width="16.875" hidden="1" customWidth="1"/>
    <col min="15" max="15" width="16.375" customWidth="1"/>
    <col min="16" max="16" width="16.875" customWidth="1"/>
    <col min="17" max="17" width="16.25" customWidth="1"/>
    <col min="18" max="18" width="15.625" customWidth="1"/>
  </cols>
  <sheetData>
    <row r="1" spans="1:14" ht="15" customHeight="1">
      <c r="A1" s="1066" t="s">
        <v>797</v>
      </c>
      <c r="B1" s="1066"/>
      <c r="C1" s="1066"/>
      <c r="D1" s="1066"/>
      <c r="E1" s="1066"/>
      <c r="F1" s="1066"/>
      <c r="G1" s="1066"/>
      <c r="H1" s="1066"/>
      <c r="I1" s="1066"/>
      <c r="J1" s="1066"/>
      <c r="K1" s="1066"/>
      <c r="M1" s="501"/>
      <c r="N1" s="501"/>
    </row>
    <row r="2" spans="1:14" ht="15" customHeight="1">
      <c r="A2" s="1066"/>
      <c r="B2" s="1066"/>
      <c r="C2" s="1066"/>
      <c r="D2" s="1066"/>
      <c r="E2" s="1066"/>
      <c r="F2" s="1066"/>
      <c r="G2" s="1066"/>
      <c r="H2" s="1066"/>
      <c r="I2" s="1066"/>
      <c r="J2" s="1066"/>
      <c r="K2" s="1066"/>
      <c r="M2" s="501"/>
      <c r="N2" s="501"/>
    </row>
    <row r="3" spans="1:14">
      <c r="A3" s="932" t="s">
        <v>805</v>
      </c>
      <c r="B3" s="932"/>
      <c r="C3" s="932"/>
      <c r="D3" s="932"/>
      <c r="E3" s="933" t="s">
        <v>806</v>
      </c>
      <c r="F3" s="933"/>
      <c r="G3" s="933"/>
      <c r="H3" s="935" t="s">
        <v>807</v>
      </c>
      <c r="I3" s="935"/>
      <c r="J3" s="936" t="s">
        <v>808</v>
      </c>
      <c r="K3" s="936"/>
      <c r="M3" s="502"/>
      <c r="N3" s="502"/>
    </row>
    <row r="4" spans="1:14" ht="15" customHeight="1">
      <c r="A4" s="1067" t="s">
        <v>632</v>
      </c>
      <c r="B4" s="1068" t="s">
        <v>633</v>
      </c>
      <c r="C4" s="1068" t="s">
        <v>634</v>
      </c>
      <c r="D4" s="1068" t="s">
        <v>635</v>
      </c>
      <c r="E4" s="1069" t="s">
        <v>642</v>
      </c>
      <c r="F4" s="1069" t="s">
        <v>643</v>
      </c>
      <c r="G4" s="1069" t="s">
        <v>644</v>
      </c>
      <c r="H4" s="1070" t="s">
        <v>645</v>
      </c>
      <c r="I4" s="1070" t="s">
        <v>646</v>
      </c>
      <c r="J4" s="1065" t="s">
        <v>648</v>
      </c>
      <c r="K4" s="1065" t="s">
        <v>649</v>
      </c>
    </row>
    <row r="5" spans="1:14" ht="49.5" customHeight="1">
      <c r="A5" s="1067"/>
      <c r="B5" s="1068"/>
      <c r="C5" s="1068"/>
      <c r="D5" s="1068"/>
      <c r="E5" s="1069"/>
      <c r="F5" s="1069"/>
      <c r="G5" s="1069"/>
      <c r="H5" s="1070"/>
      <c r="I5" s="1070"/>
      <c r="J5" s="1065"/>
      <c r="K5" s="1065"/>
    </row>
    <row r="6" spans="1:14">
      <c r="A6" s="545" t="s">
        <v>651</v>
      </c>
      <c r="B6" s="504"/>
      <c r="C6" s="504"/>
      <c r="D6" s="504"/>
      <c r="E6" s="504"/>
      <c r="F6" s="504"/>
      <c r="G6" s="401"/>
      <c r="H6" s="504"/>
      <c r="I6" s="504"/>
      <c r="J6" s="523"/>
      <c r="K6" s="523"/>
    </row>
    <row r="7" spans="1:14">
      <c r="A7" s="503" t="s">
        <v>581</v>
      </c>
      <c r="B7" s="504"/>
      <c r="C7" s="504"/>
      <c r="D7" s="504"/>
      <c r="E7" s="504"/>
      <c r="F7" s="504"/>
      <c r="G7" s="513"/>
      <c r="H7" s="504"/>
      <c r="I7" s="504"/>
      <c r="J7" s="403"/>
      <c r="K7" s="403"/>
    </row>
    <row r="8" spans="1:14">
      <c r="A8" s="503" t="s">
        <v>582</v>
      </c>
      <c r="B8" s="504"/>
      <c r="C8" s="504"/>
      <c r="D8" s="504"/>
      <c r="E8" s="504"/>
      <c r="F8" s="504"/>
      <c r="G8" s="513"/>
      <c r="H8" s="504"/>
      <c r="I8" s="504"/>
      <c r="J8" s="403"/>
      <c r="K8" s="403"/>
    </row>
    <row r="9" spans="1:14">
      <c r="A9" s="503" t="s">
        <v>583</v>
      </c>
      <c r="B9" s="504"/>
      <c r="C9" s="504"/>
      <c r="D9" s="504"/>
      <c r="E9" s="504"/>
      <c r="F9" s="504"/>
      <c r="G9" s="513"/>
      <c r="H9" s="504"/>
      <c r="I9" s="504"/>
      <c r="J9" s="403"/>
      <c r="K9" s="403"/>
    </row>
    <row r="10" spans="1:14">
      <c r="A10" s="503"/>
      <c r="B10" s="503"/>
      <c r="C10" s="503"/>
      <c r="D10" s="503"/>
      <c r="E10" s="503"/>
      <c r="F10" s="503"/>
      <c r="G10" s="503"/>
      <c r="H10" s="503"/>
      <c r="I10" s="503"/>
      <c r="J10" s="503"/>
      <c r="K10" s="503"/>
    </row>
    <row r="11" spans="1:14">
      <c r="A11" s="545" t="s">
        <v>652</v>
      </c>
      <c r="B11" s="397"/>
      <c r="C11" s="397"/>
      <c r="D11" s="397"/>
      <c r="E11" s="523"/>
      <c r="F11" s="523"/>
      <c r="G11" s="401"/>
      <c r="H11" s="523"/>
      <c r="I11" s="523"/>
      <c r="J11" s="523"/>
      <c r="K11" s="523"/>
    </row>
    <row r="12" spans="1:14">
      <c r="A12" s="503" t="s">
        <v>581</v>
      </c>
      <c r="B12" s="504"/>
      <c r="C12" s="504"/>
      <c r="D12" s="504"/>
      <c r="E12" s="504"/>
      <c r="F12" s="504"/>
      <c r="G12" s="513"/>
      <c r="H12" s="504"/>
      <c r="I12" s="504"/>
      <c r="J12" s="403"/>
      <c r="K12" s="403"/>
    </row>
    <row r="13" spans="1:14">
      <c r="A13" s="503" t="s">
        <v>582</v>
      </c>
      <c r="B13" s="504"/>
      <c r="C13" s="504"/>
      <c r="D13" s="504"/>
      <c r="E13" s="504"/>
      <c r="F13" s="504"/>
      <c r="G13" s="513"/>
      <c r="H13" s="504"/>
      <c r="I13" s="504"/>
      <c r="J13" s="403"/>
      <c r="K13" s="403"/>
    </row>
    <row r="14" spans="1:14">
      <c r="A14" s="503"/>
      <c r="B14" s="503"/>
      <c r="C14" s="503"/>
      <c r="D14" s="503"/>
      <c r="E14" s="503"/>
      <c r="F14" s="503"/>
      <c r="G14" s="503"/>
      <c r="H14" s="503"/>
      <c r="I14" s="503"/>
      <c r="J14" s="503"/>
      <c r="K14" s="503"/>
    </row>
    <row r="15" spans="1:14">
      <c r="A15" s="545" t="s">
        <v>653</v>
      </c>
      <c r="B15" s="504"/>
      <c r="C15" s="504"/>
      <c r="D15" s="504"/>
      <c r="E15" s="504"/>
      <c r="F15" s="504"/>
      <c r="G15" s="401"/>
      <c r="H15" s="504"/>
      <c r="I15" s="504"/>
      <c r="J15" s="523"/>
      <c r="K15" s="523"/>
    </row>
    <row r="16" spans="1:14">
      <c r="A16" s="503" t="s">
        <v>581</v>
      </c>
      <c r="B16" s="543"/>
      <c r="C16" s="504"/>
      <c r="D16" s="397"/>
      <c r="E16" s="504"/>
      <c r="F16" s="397"/>
      <c r="G16" s="513"/>
      <c r="H16" s="504"/>
      <c r="I16" s="397"/>
      <c r="J16" s="403"/>
      <c r="K16" s="403"/>
    </row>
    <row r="17" spans="1:11">
      <c r="A17" s="503" t="s">
        <v>582</v>
      </c>
      <c r="B17" s="543"/>
      <c r="C17" s="504"/>
      <c r="D17" s="397"/>
      <c r="E17" s="504"/>
      <c r="F17" s="397"/>
      <c r="G17" s="513"/>
      <c r="H17" s="504"/>
      <c r="I17" s="397"/>
      <c r="J17" s="403"/>
      <c r="K17" s="403"/>
    </row>
    <row r="18" spans="1:11">
      <c r="A18" s="503"/>
      <c r="B18" s="503"/>
      <c r="C18" s="503"/>
      <c r="D18" s="503"/>
      <c r="E18" s="503"/>
      <c r="F18" s="503"/>
      <c r="G18" s="503"/>
      <c r="H18" s="503"/>
      <c r="I18" s="503"/>
      <c r="J18" s="503"/>
      <c r="K18" s="503"/>
    </row>
    <row r="19" spans="1:11">
      <c r="A19" s="545" t="s">
        <v>654</v>
      </c>
      <c r="B19" s="504"/>
      <c r="C19" s="504"/>
      <c r="D19" s="504"/>
      <c r="E19" s="504"/>
      <c r="F19" s="504"/>
      <c r="G19" s="401"/>
      <c r="H19" s="504"/>
      <c r="I19" s="504"/>
      <c r="J19" s="523"/>
      <c r="K19" s="523"/>
    </row>
    <row r="20" spans="1:11">
      <c r="A20" s="503" t="s">
        <v>581</v>
      </c>
      <c r="B20" s="504"/>
      <c r="C20" s="523"/>
      <c r="D20" s="397"/>
      <c r="E20" s="523"/>
      <c r="F20" s="397"/>
      <c r="G20" s="513"/>
      <c r="H20" s="523"/>
      <c r="I20" s="397"/>
      <c r="J20" s="403"/>
      <c r="K20" s="403"/>
    </row>
    <row r="21" spans="1:11">
      <c r="A21" s="503" t="s">
        <v>582</v>
      </c>
      <c r="B21" s="504"/>
      <c r="C21" s="523"/>
      <c r="D21" s="397"/>
      <c r="E21" s="523"/>
      <c r="F21" s="397"/>
      <c r="G21" s="513"/>
      <c r="H21" s="523"/>
      <c r="I21" s="397"/>
      <c r="J21" s="403"/>
      <c r="K21" s="403"/>
    </row>
    <row r="22" spans="1:11">
      <c r="A22" s="503" t="s">
        <v>583</v>
      </c>
      <c r="B22" s="504"/>
      <c r="C22" s="523"/>
      <c r="D22" s="397"/>
      <c r="E22" s="523"/>
      <c r="F22" s="397"/>
      <c r="G22" s="513"/>
      <c r="H22" s="523"/>
      <c r="I22" s="397"/>
      <c r="J22" s="403"/>
      <c r="K22" s="403"/>
    </row>
    <row r="23" spans="1:11">
      <c r="A23" s="503" t="s">
        <v>588</v>
      </c>
      <c r="B23" s="504"/>
      <c r="C23" s="523"/>
      <c r="D23" s="397"/>
      <c r="E23" s="523"/>
      <c r="F23" s="397"/>
      <c r="G23" s="513"/>
      <c r="H23" s="523"/>
      <c r="I23" s="397"/>
      <c r="J23" s="403"/>
      <c r="K23" s="403"/>
    </row>
    <row r="24" spans="1:11">
      <c r="A24" s="503"/>
      <c r="B24" s="503"/>
      <c r="C24" s="503"/>
      <c r="D24" s="503"/>
      <c r="E24" s="503"/>
      <c r="F24" s="503"/>
      <c r="G24" s="503"/>
      <c r="H24" s="503"/>
      <c r="I24" s="503"/>
      <c r="J24" s="503"/>
      <c r="K24" s="503"/>
    </row>
    <row r="25" spans="1:11">
      <c r="A25" s="545" t="s">
        <v>655</v>
      </c>
      <c r="B25" s="504"/>
      <c r="C25" s="504"/>
      <c r="D25" s="504"/>
      <c r="E25" s="504"/>
      <c r="F25" s="504"/>
      <c r="G25" s="401"/>
      <c r="H25" s="504"/>
      <c r="I25" s="504"/>
      <c r="J25" s="523"/>
      <c r="K25" s="523"/>
    </row>
    <row r="26" spans="1:11">
      <c r="A26" s="503" t="s">
        <v>581</v>
      </c>
      <c r="B26" s="504"/>
      <c r="C26" s="504"/>
      <c r="D26" s="397"/>
      <c r="E26" s="504"/>
      <c r="F26" s="397"/>
      <c r="G26" s="513"/>
      <c r="H26" s="504"/>
      <c r="I26" s="397"/>
      <c r="J26" s="403"/>
      <c r="K26" s="403"/>
    </row>
    <row r="27" spans="1:11">
      <c r="A27" s="503" t="s">
        <v>582</v>
      </c>
      <c r="B27" s="504"/>
      <c r="C27" s="504"/>
      <c r="D27" s="397"/>
      <c r="E27" s="504"/>
      <c r="F27" s="397"/>
      <c r="G27" s="513"/>
      <c r="H27" s="504"/>
      <c r="I27" s="397"/>
      <c r="J27" s="403"/>
      <c r="K27" s="403"/>
    </row>
    <row r="28" spans="1:11">
      <c r="A28" s="503"/>
      <c r="B28" s="503"/>
      <c r="C28" s="503"/>
      <c r="D28" s="503"/>
      <c r="E28" s="503"/>
      <c r="F28" s="503"/>
      <c r="G28" s="503"/>
      <c r="H28" s="503"/>
      <c r="I28" s="503"/>
      <c r="J28" s="503"/>
      <c r="K28" s="503"/>
    </row>
    <row r="29" spans="1:11">
      <c r="A29" s="545" t="s">
        <v>656</v>
      </c>
      <c r="B29" s="504"/>
      <c r="C29" s="504"/>
      <c r="D29" s="504"/>
      <c r="E29" s="504"/>
      <c r="F29" s="504"/>
      <c r="G29" s="401"/>
      <c r="H29" s="504"/>
      <c r="I29" s="504"/>
      <c r="J29" s="523"/>
      <c r="K29" s="523"/>
    </row>
    <row r="30" spans="1:11">
      <c r="A30" s="503" t="s">
        <v>581</v>
      </c>
      <c r="B30" s="504"/>
      <c r="C30" s="504"/>
      <c r="D30" s="397"/>
      <c r="E30" s="504"/>
      <c r="F30" s="397"/>
      <c r="G30" s="513"/>
      <c r="H30" s="504"/>
      <c r="I30" s="397"/>
      <c r="J30" s="523"/>
      <c r="K30" s="523"/>
    </row>
    <row r="31" spans="1:11">
      <c r="A31" s="503" t="s">
        <v>582</v>
      </c>
      <c r="B31" s="504"/>
      <c r="C31" s="504"/>
      <c r="D31" s="397"/>
      <c r="E31" s="504"/>
      <c r="F31" s="504"/>
      <c r="G31" s="513"/>
      <c r="H31" s="504"/>
      <c r="I31" s="504"/>
      <c r="J31" s="403"/>
      <c r="K31" s="403"/>
    </row>
    <row r="32" spans="1:11">
      <c r="A32" s="503"/>
      <c r="B32" s="503"/>
      <c r="C32" s="503"/>
      <c r="D32" s="503"/>
      <c r="E32" s="503"/>
      <c r="F32" s="503"/>
      <c r="G32" s="503"/>
      <c r="H32" s="503"/>
      <c r="I32" s="503"/>
      <c r="J32" s="503"/>
      <c r="K32" s="503"/>
    </row>
    <row r="33" spans="1:18">
      <c r="A33" s="545" t="s">
        <v>657</v>
      </c>
      <c r="B33" s="504"/>
      <c r="C33" s="504"/>
      <c r="D33" s="504"/>
      <c r="E33" s="504"/>
      <c r="F33" s="504"/>
      <c r="G33" s="401"/>
      <c r="H33" s="504"/>
      <c r="I33" s="397"/>
      <c r="J33" s="403"/>
      <c r="K33" s="404"/>
    </row>
    <row r="34" spans="1:18">
      <c r="A34" s="503" t="s">
        <v>581</v>
      </c>
      <c r="B34" s="504"/>
      <c r="C34" s="504"/>
      <c r="D34" s="397"/>
      <c r="E34" s="504"/>
      <c r="F34" s="504"/>
      <c r="G34" s="513"/>
      <c r="H34" s="504"/>
      <c r="I34" s="504"/>
      <c r="J34" s="403"/>
      <c r="K34" s="404"/>
    </row>
    <row r="35" spans="1:18">
      <c r="A35" s="503"/>
      <c r="B35" s="503"/>
      <c r="C35" s="503"/>
      <c r="D35" s="503"/>
      <c r="E35" s="503"/>
      <c r="F35" s="503"/>
      <c r="G35" s="401"/>
      <c r="H35" s="503"/>
      <c r="I35" s="503"/>
      <c r="J35" s="401"/>
      <c r="K35" s="401"/>
    </row>
    <row r="36" spans="1:18">
      <c r="A36" s="545" t="s">
        <v>658</v>
      </c>
      <c r="B36" s="504"/>
      <c r="C36" s="504"/>
      <c r="D36" s="504"/>
      <c r="E36" s="504"/>
      <c r="F36" s="504"/>
      <c r="G36" s="401"/>
      <c r="H36" s="504"/>
      <c r="I36" s="504"/>
      <c r="J36" s="523"/>
      <c r="K36" s="544"/>
    </row>
    <row r="37" spans="1:18">
      <c r="A37" s="503" t="s">
        <v>581</v>
      </c>
      <c r="B37" s="504"/>
      <c r="C37" s="504"/>
      <c r="D37" s="397"/>
      <c r="E37" s="504"/>
      <c r="F37" s="397"/>
      <c r="G37" s="513"/>
      <c r="H37" s="504"/>
      <c r="I37" s="397"/>
      <c r="J37" s="403"/>
      <c r="K37" s="404"/>
    </row>
    <row r="38" spans="1:18">
      <c r="A38" s="503" t="s">
        <v>582</v>
      </c>
      <c r="B38" s="504"/>
      <c r="C38" s="504"/>
      <c r="D38" s="397"/>
      <c r="E38" s="504"/>
      <c r="F38" s="397"/>
      <c r="G38" s="513"/>
      <c r="H38" s="504"/>
      <c r="I38" s="397"/>
      <c r="J38" s="403"/>
      <c r="K38" s="404"/>
    </row>
    <row r="39" spans="1:18">
      <c r="A39" s="503" t="s">
        <v>583</v>
      </c>
      <c r="B39" s="504"/>
      <c r="C39" s="504"/>
      <c r="D39" s="397"/>
      <c r="E39" s="504"/>
      <c r="F39" s="397"/>
      <c r="G39" s="513"/>
      <c r="H39" s="504"/>
      <c r="I39" s="397"/>
      <c r="J39" s="403"/>
      <c r="K39" s="404"/>
    </row>
    <row r="40" spans="1:18">
      <c r="A40" s="503"/>
      <c r="B40" s="503"/>
      <c r="C40" s="503"/>
      <c r="D40" s="503"/>
      <c r="E40" s="503"/>
      <c r="F40" s="503"/>
      <c r="G40" s="503"/>
      <c r="H40" s="503"/>
      <c r="I40" s="503"/>
      <c r="J40" s="503"/>
      <c r="K40" s="503"/>
    </row>
    <row r="41" spans="1:18">
      <c r="A41" s="545" t="s">
        <v>689</v>
      </c>
      <c r="B41" s="504">
        <f>B36+B33+B29+B25+B19+B15+B11+B6</f>
        <v>0</v>
      </c>
      <c r="C41" s="504">
        <f t="shared" ref="C41:F41" si="0">C36+C33+C29+C25+C19+C15+C11+C6</f>
        <v>0</v>
      </c>
      <c r="D41" s="504">
        <f t="shared" si="0"/>
        <v>0</v>
      </c>
      <c r="E41" s="504">
        <f t="shared" si="0"/>
        <v>0</v>
      </c>
      <c r="F41" s="504">
        <f t="shared" si="0"/>
        <v>0</v>
      </c>
      <c r="G41" s="515" t="e">
        <f>F41/E41</f>
        <v>#DIV/0!</v>
      </c>
      <c r="H41" s="504">
        <f t="shared" ref="H41:I41" si="1">H36+H33+H29+H25+H19+H15+H11+H6</f>
        <v>0</v>
      </c>
      <c r="I41" s="504">
        <f t="shared" si="1"/>
        <v>0</v>
      </c>
      <c r="J41" s="546">
        <f>J36+J33+J29+J25+J19+J15+J11+J6</f>
        <v>0</v>
      </c>
      <c r="K41" s="546">
        <f>K36+K33+K29+K25+K19+K15+K11+K6</f>
        <v>0</v>
      </c>
    </row>
    <row r="45" spans="1:18" ht="60">
      <c r="A45" s="408" t="s">
        <v>809</v>
      </c>
      <c r="B45" s="408" t="s">
        <v>604</v>
      </c>
      <c r="C45" s="505" t="s">
        <v>605</v>
      </c>
      <c r="D45" s="408" t="s">
        <v>810</v>
      </c>
      <c r="E45" s="408" t="s">
        <v>811</v>
      </c>
      <c r="F45" s="505" t="s">
        <v>812</v>
      </c>
      <c r="H45" s="408" t="s">
        <v>669</v>
      </c>
      <c r="I45" s="408" t="s">
        <v>670</v>
      </c>
      <c r="J45" s="505" t="s">
        <v>611</v>
      </c>
      <c r="K45" s="408" t="s">
        <v>685</v>
      </c>
      <c r="L45" s="408" t="s">
        <v>686</v>
      </c>
      <c r="M45" s="408" t="s">
        <v>685</v>
      </c>
      <c r="N45" s="408" t="s">
        <v>686</v>
      </c>
      <c r="O45" s="505" t="s">
        <v>614</v>
      </c>
      <c r="P45" s="408" t="s">
        <v>813</v>
      </c>
      <c r="Q45" s="408" t="s">
        <v>814</v>
      </c>
      <c r="R45" s="408" t="s">
        <v>673</v>
      </c>
    </row>
    <row r="46" spans="1:18">
      <c r="A46" s="409">
        <f>C41</f>
        <v>0</v>
      </c>
      <c r="B46" s="409">
        <f>D41</f>
        <v>0</v>
      </c>
      <c r="C46" s="505" t="e">
        <f>B46/A46*100</f>
        <v>#DIV/0!</v>
      </c>
      <c r="D46" s="409">
        <f>E41</f>
        <v>0</v>
      </c>
      <c r="E46" s="409">
        <v>0</v>
      </c>
      <c r="F46" s="505" t="e">
        <f>E46/D46*100</f>
        <v>#DIV/0!</v>
      </c>
      <c r="H46" s="409">
        <v>0</v>
      </c>
      <c r="I46" s="410">
        <v>0</v>
      </c>
      <c r="J46" s="505" t="e">
        <f>I46/H46*100</f>
        <v>#DIV/0!</v>
      </c>
      <c r="K46" s="409">
        <v>0</v>
      </c>
      <c r="L46" s="409">
        <v>0</v>
      </c>
      <c r="M46" s="409">
        <v>2943</v>
      </c>
      <c r="N46" s="412">
        <v>1996</v>
      </c>
      <c r="O46" s="505">
        <f>N46/M46*100</f>
        <v>67.821950390757735</v>
      </c>
      <c r="P46" s="409">
        <f>K46+H46+D46+A46</f>
        <v>0</v>
      </c>
      <c r="Q46" s="409">
        <v>0</v>
      </c>
      <c r="R46" s="411">
        <v>0</v>
      </c>
    </row>
  </sheetData>
  <mergeCells count="16">
    <mergeCell ref="K4:K5"/>
    <mergeCell ref="A1:K2"/>
    <mergeCell ref="A3:D3"/>
    <mergeCell ref="E3:G3"/>
    <mergeCell ref="H3:I3"/>
    <mergeCell ref="J3:K3"/>
    <mergeCell ref="A4:A5"/>
    <mergeCell ref="B4:B5"/>
    <mergeCell ref="C4:C5"/>
    <mergeCell ref="D4:D5"/>
    <mergeCell ref="E4:E5"/>
    <mergeCell ref="F4:F5"/>
    <mergeCell ref="G4:G5"/>
    <mergeCell ref="H4:H5"/>
    <mergeCell ref="I4:I5"/>
    <mergeCell ref="J4:J5"/>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0BF15-22DB-4EFA-862A-D17DA6894BAC}">
  <dimension ref="A1:M181"/>
  <sheetViews>
    <sheetView workbookViewId="0">
      <selection activeCell="K14" sqref="K14"/>
    </sheetView>
  </sheetViews>
  <sheetFormatPr defaultColWidth="11" defaultRowHeight="15"/>
  <cols>
    <col min="1" max="2" width="28" customWidth="1"/>
    <col min="3" max="3" width="41.625" customWidth="1"/>
    <col min="4" max="7" width="17.875" customWidth="1"/>
    <col min="8" max="8" width="11.875" customWidth="1"/>
    <col min="9" max="9" width="17.875" customWidth="1"/>
    <col min="10" max="10" width="21.125" customWidth="1"/>
    <col min="11" max="11" width="16.625" customWidth="1"/>
  </cols>
  <sheetData>
    <row r="1" spans="1:10" ht="22.5" customHeight="1">
      <c r="A1" s="1086"/>
      <c r="B1" s="1089" t="s">
        <v>815</v>
      </c>
      <c r="C1" s="1090"/>
      <c r="D1" s="1090"/>
      <c r="E1" s="1090"/>
      <c r="F1" s="1090"/>
      <c r="G1" s="1090"/>
      <c r="H1" s="1090"/>
      <c r="I1" s="1090"/>
      <c r="J1" s="1090"/>
    </row>
    <row r="2" spans="1:10" ht="25.5" customHeight="1">
      <c r="A2" s="1087"/>
      <c r="B2" s="1089"/>
      <c r="C2" s="1090"/>
      <c r="D2" s="1090"/>
      <c r="E2" s="1090"/>
      <c r="F2" s="1090"/>
      <c r="G2" s="1090"/>
      <c r="H2" s="1090"/>
      <c r="I2" s="1090"/>
      <c r="J2" s="1090"/>
    </row>
    <row r="3" spans="1:10" ht="30" customHeight="1" thickBot="1">
      <c r="A3" s="1088"/>
      <c r="B3" s="1089"/>
      <c r="C3" s="1090"/>
      <c r="D3" s="1090"/>
      <c r="E3" s="1090"/>
      <c r="F3" s="1090"/>
      <c r="G3" s="1090"/>
      <c r="H3" s="1090"/>
      <c r="I3" s="1090"/>
      <c r="J3" s="1090"/>
    </row>
    <row r="4" spans="1:10" ht="35.1" customHeight="1">
      <c r="A4" s="430" t="s">
        <v>816</v>
      </c>
      <c r="B4" s="431" t="s">
        <v>817</v>
      </c>
      <c r="C4" s="431" t="s">
        <v>10</v>
      </c>
      <c r="D4" s="431" t="s">
        <v>679</v>
      </c>
      <c r="E4" s="431" t="s">
        <v>680</v>
      </c>
      <c r="F4" s="431" t="s">
        <v>681</v>
      </c>
      <c r="G4" s="431" t="s">
        <v>818</v>
      </c>
      <c r="H4" s="432" t="s">
        <v>819</v>
      </c>
      <c r="I4" s="433" t="s">
        <v>820</v>
      </c>
      <c r="J4" s="434" t="s">
        <v>821</v>
      </c>
    </row>
    <row r="5" spans="1:10" ht="38.1" customHeight="1">
      <c r="A5" s="1077" t="s">
        <v>822</v>
      </c>
      <c r="B5" s="1081" t="s">
        <v>823</v>
      </c>
      <c r="C5" s="435" t="s">
        <v>824</v>
      </c>
      <c r="D5" s="436">
        <f>H5/4</f>
        <v>0.1</v>
      </c>
      <c r="E5" s="436">
        <f>$H$5/4</f>
        <v>0.1</v>
      </c>
      <c r="F5" s="436">
        <f t="shared" ref="F5:G5" si="0">$H$5/4</f>
        <v>0.1</v>
      </c>
      <c r="G5" s="436">
        <f t="shared" si="0"/>
        <v>0.1</v>
      </c>
      <c r="H5" s="437">
        <v>0.4</v>
      </c>
      <c r="I5" s="438">
        <v>0</v>
      </c>
      <c r="J5" s="439">
        <v>0.24</v>
      </c>
    </row>
    <row r="6" spans="1:10" ht="38.1" customHeight="1">
      <c r="A6" s="1077"/>
      <c r="B6" s="1081"/>
      <c r="C6" s="435" t="s">
        <v>81</v>
      </c>
      <c r="D6" s="436">
        <f>$H$6/4</f>
        <v>0.25</v>
      </c>
      <c r="E6" s="436">
        <f t="shared" ref="E6:G6" si="1">$H$6/4</f>
        <v>0.25</v>
      </c>
      <c r="F6" s="436">
        <f t="shared" si="1"/>
        <v>0.25</v>
      </c>
      <c r="G6" s="436">
        <f t="shared" si="1"/>
        <v>0.25</v>
      </c>
      <c r="H6" s="437">
        <v>1</v>
      </c>
      <c r="I6" s="438">
        <v>0</v>
      </c>
      <c r="J6" s="439">
        <v>0.33</v>
      </c>
    </row>
    <row r="7" spans="1:10" ht="38.1" customHeight="1">
      <c r="A7" s="1077"/>
      <c r="B7" s="1081"/>
      <c r="C7" s="435" t="s">
        <v>825</v>
      </c>
      <c r="D7" s="440">
        <f>$H$7/4</f>
        <v>0.1125</v>
      </c>
      <c r="E7" s="440">
        <f t="shared" ref="E7:G7" si="2">$H$7/4</f>
        <v>0.1125</v>
      </c>
      <c r="F7" s="440">
        <f t="shared" si="2"/>
        <v>0.1125</v>
      </c>
      <c r="G7" s="440">
        <f t="shared" si="2"/>
        <v>0.1125</v>
      </c>
      <c r="H7" s="437">
        <v>0.45</v>
      </c>
      <c r="I7" s="438">
        <v>0</v>
      </c>
      <c r="J7" s="439">
        <v>0</v>
      </c>
    </row>
    <row r="8" spans="1:10" ht="35.1" customHeight="1">
      <c r="A8" s="1077"/>
      <c r="B8" s="1081"/>
      <c r="C8" s="441" t="s">
        <v>11</v>
      </c>
      <c r="D8" s="441" t="s">
        <v>679</v>
      </c>
      <c r="E8" s="441" t="s">
        <v>680</v>
      </c>
      <c r="F8" s="441" t="s">
        <v>681</v>
      </c>
      <c r="G8" s="441" t="s">
        <v>818</v>
      </c>
      <c r="H8" s="442" t="s">
        <v>819</v>
      </c>
      <c r="I8" s="438"/>
      <c r="J8" s="439"/>
    </row>
    <row r="9" spans="1:10" ht="27.75" customHeight="1">
      <c r="A9" s="1077"/>
      <c r="B9" s="1081"/>
      <c r="C9" s="435" t="s">
        <v>71</v>
      </c>
      <c r="D9" s="443">
        <f>$H$9/4</f>
        <v>0</v>
      </c>
      <c r="E9" s="443">
        <f t="shared" ref="E9:G9" si="3">$H$9/4</f>
        <v>0</v>
      </c>
      <c r="F9" s="443">
        <f t="shared" si="3"/>
        <v>0</v>
      </c>
      <c r="G9" s="443">
        <f t="shared" si="3"/>
        <v>0</v>
      </c>
      <c r="H9" s="444">
        <v>0</v>
      </c>
      <c r="I9" s="438">
        <v>0</v>
      </c>
      <c r="J9" s="439">
        <v>0</v>
      </c>
    </row>
    <row r="10" spans="1:10" ht="30.75" customHeight="1">
      <c r="A10" s="1077"/>
      <c r="B10" s="1081"/>
      <c r="C10" s="435" t="s">
        <v>79</v>
      </c>
      <c r="D10" s="443">
        <f>$H$10/4</f>
        <v>0</v>
      </c>
      <c r="E10" s="443">
        <f t="shared" ref="E10:G10" si="4">$H$10/4</f>
        <v>0</v>
      </c>
      <c r="F10" s="443">
        <f t="shared" si="4"/>
        <v>0</v>
      </c>
      <c r="G10" s="443">
        <f t="shared" si="4"/>
        <v>0</v>
      </c>
      <c r="H10" s="444">
        <v>0</v>
      </c>
      <c r="I10" s="438">
        <v>0</v>
      </c>
      <c r="J10" s="439">
        <v>0.24</v>
      </c>
    </row>
    <row r="11" spans="1:10" ht="36" customHeight="1">
      <c r="A11" s="1077"/>
      <c r="B11" s="1081"/>
      <c r="C11" s="435" t="s">
        <v>826</v>
      </c>
      <c r="D11" s="443">
        <f>$H$11/4</f>
        <v>2</v>
      </c>
      <c r="E11" s="443">
        <f t="shared" ref="E11:G11" si="5">$H$11/4</f>
        <v>2</v>
      </c>
      <c r="F11" s="443">
        <f t="shared" si="5"/>
        <v>2</v>
      </c>
      <c r="G11" s="443">
        <f t="shared" si="5"/>
        <v>2</v>
      </c>
      <c r="H11" s="444">
        <v>8</v>
      </c>
      <c r="I11" s="438">
        <v>0</v>
      </c>
      <c r="J11" s="439">
        <v>0</v>
      </c>
    </row>
    <row r="12" spans="1:10" ht="39" customHeight="1">
      <c r="A12" s="1077"/>
      <c r="B12" s="1081" t="s">
        <v>827</v>
      </c>
      <c r="C12" s="441" t="s">
        <v>10</v>
      </c>
      <c r="D12" s="441" t="s">
        <v>679</v>
      </c>
      <c r="E12" s="441" t="s">
        <v>680</v>
      </c>
      <c r="F12" s="441" t="s">
        <v>681</v>
      </c>
      <c r="G12" s="441" t="s">
        <v>818</v>
      </c>
      <c r="H12" s="442" t="s">
        <v>819</v>
      </c>
      <c r="I12" s="415"/>
      <c r="J12" s="439"/>
    </row>
    <row r="13" spans="1:10" ht="51.75" customHeight="1">
      <c r="A13" s="1077"/>
      <c r="B13" s="1081"/>
      <c r="C13" s="435" t="s">
        <v>89</v>
      </c>
      <c r="D13" s="444" t="s">
        <v>828</v>
      </c>
      <c r="E13" s="444" t="s">
        <v>828</v>
      </c>
      <c r="F13" s="444" t="s">
        <v>828</v>
      </c>
      <c r="G13" s="444" t="s">
        <v>828</v>
      </c>
      <c r="H13" s="444" t="s">
        <v>828</v>
      </c>
      <c r="I13" s="445">
        <v>1.47E-2</v>
      </c>
      <c r="J13" s="446">
        <v>1</v>
      </c>
    </row>
    <row r="14" spans="1:10" ht="35.25" customHeight="1">
      <c r="A14" s="1077"/>
      <c r="B14" s="1081"/>
      <c r="C14" s="441" t="s">
        <v>11</v>
      </c>
      <c r="D14" s="441" t="s">
        <v>679</v>
      </c>
      <c r="E14" s="441" t="s">
        <v>680</v>
      </c>
      <c r="F14" s="441" t="s">
        <v>681</v>
      </c>
      <c r="G14" s="441" t="s">
        <v>818</v>
      </c>
      <c r="H14" s="442" t="s">
        <v>819</v>
      </c>
      <c r="I14" s="396"/>
      <c r="J14" s="439"/>
    </row>
    <row r="15" spans="1:10" ht="47.25" customHeight="1">
      <c r="A15" s="1077"/>
      <c r="B15" s="1081"/>
      <c r="C15" s="435" t="s">
        <v>97</v>
      </c>
      <c r="D15" s="436">
        <f>$H$15/4</f>
        <v>0.2</v>
      </c>
      <c r="E15" s="436">
        <f t="shared" ref="E15:G15" si="6">$H$15/4</f>
        <v>0.2</v>
      </c>
      <c r="F15" s="436">
        <f t="shared" si="6"/>
        <v>0.2</v>
      </c>
      <c r="G15" s="436">
        <f t="shared" si="6"/>
        <v>0.2</v>
      </c>
      <c r="H15" s="447">
        <v>0.8</v>
      </c>
      <c r="I15" s="438">
        <v>0.37</v>
      </c>
      <c r="J15" s="439">
        <v>0.37</v>
      </c>
    </row>
    <row r="16" spans="1:10" ht="28.5" customHeight="1">
      <c r="A16" s="1077"/>
      <c r="B16" s="1081"/>
      <c r="C16" s="435" t="s">
        <v>829</v>
      </c>
      <c r="D16" s="448">
        <f>$H$16/4</f>
        <v>0.17499999999999999</v>
      </c>
      <c r="E16" s="448">
        <f t="shared" ref="E16:G16" si="7">$H$16/4</f>
        <v>0.17499999999999999</v>
      </c>
      <c r="F16" s="448">
        <f t="shared" si="7"/>
        <v>0.17499999999999999</v>
      </c>
      <c r="G16" s="448">
        <f t="shared" si="7"/>
        <v>0.17499999999999999</v>
      </c>
      <c r="H16" s="447">
        <v>0.7</v>
      </c>
      <c r="I16" s="438">
        <v>0.37</v>
      </c>
      <c r="J16" s="439">
        <v>0.42</v>
      </c>
    </row>
    <row r="17" spans="1:12" ht="32.25" customHeight="1">
      <c r="A17" s="1077"/>
      <c r="B17" s="1081"/>
      <c r="C17" s="435" t="s">
        <v>92</v>
      </c>
      <c r="D17" s="448">
        <f>$H$17/4</f>
        <v>0.17499999999999999</v>
      </c>
      <c r="E17" s="448">
        <f t="shared" ref="E17:G17" si="8">$H$17/4</f>
        <v>0.17499999999999999</v>
      </c>
      <c r="F17" s="448">
        <f t="shared" si="8"/>
        <v>0.17499999999999999</v>
      </c>
      <c r="G17" s="448">
        <f t="shared" si="8"/>
        <v>0.17499999999999999</v>
      </c>
      <c r="H17" s="447">
        <v>0.7</v>
      </c>
      <c r="I17" s="438">
        <v>0.37</v>
      </c>
      <c r="J17" s="439">
        <v>0.42</v>
      </c>
    </row>
    <row r="18" spans="1:12" ht="34.5" customHeight="1">
      <c r="A18" s="1077"/>
      <c r="B18" s="1081"/>
      <c r="C18" s="435" t="s">
        <v>100</v>
      </c>
      <c r="D18" s="436">
        <f>$H$18/4</f>
        <v>0.25</v>
      </c>
      <c r="E18" s="436">
        <f t="shared" ref="E18:G18" si="9">$H$18/4</f>
        <v>0.25</v>
      </c>
      <c r="F18" s="436">
        <f t="shared" si="9"/>
        <v>0.25</v>
      </c>
      <c r="G18" s="436">
        <f t="shared" si="9"/>
        <v>0.25</v>
      </c>
      <c r="H18" s="447">
        <v>1</v>
      </c>
      <c r="I18" s="438">
        <v>0.1</v>
      </c>
      <c r="J18" s="439">
        <v>0.2</v>
      </c>
    </row>
    <row r="19" spans="1:12" ht="35.25" customHeight="1">
      <c r="A19" s="1077"/>
      <c r="B19" s="1081"/>
      <c r="C19" s="435" t="s">
        <v>830</v>
      </c>
      <c r="D19" s="449">
        <f>$H$19/4</f>
        <v>0.25</v>
      </c>
      <c r="E19" s="449">
        <f t="shared" ref="E19:G19" si="10">$H$19/4</f>
        <v>0.25</v>
      </c>
      <c r="F19" s="449">
        <f t="shared" si="10"/>
        <v>0.25</v>
      </c>
      <c r="G19" s="449">
        <f t="shared" si="10"/>
        <v>0.25</v>
      </c>
      <c r="H19" s="444">
        <v>1</v>
      </c>
      <c r="I19" s="438">
        <v>0</v>
      </c>
      <c r="J19" s="439">
        <v>0</v>
      </c>
    </row>
    <row r="20" spans="1:12" ht="36" customHeight="1">
      <c r="A20" s="1077"/>
      <c r="B20" s="1081" t="s">
        <v>831</v>
      </c>
      <c r="C20" s="441" t="s">
        <v>10</v>
      </c>
      <c r="D20" s="441" t="s">
        <v>679</v>
      </c>
      <c r="E20" s="441" t="s">
        <v>680</v>
      </c>
      <c r="F20" s="441" t="s">
        <v>681</v>
      </c>
      <c r="G20" s="441" t="s">
        <v>818</v>
      </c>
      <c r="H20" s="442" t="s">
        <v>819</v>
      </c>
      <c r="I20" s="415"/>
      <c r="J20" s="439"/>
    </row>
    <row r="21" spans="1:12" ht="39" customHeight="1">
      <c r="A21" s="1077"/>
      <c r="B21" s="1081"/>
      <c r="C21" s="435" t="s">
        <v>832</v>
      </c>
      <c r="D21" s="440">
        <f>$H$21/4</f>
        <v>0.23749999999999999</v>
      </c>
      <c r="E21" s="440">
        <f t="shared" ref="E21:G21" si="11">$H$21/4</f>
        <v>0.23749999999999999</v>
      </c>
      <c r="F21" s="440">
        <f t="shared" si="11"/>
        <v>0.23749999999999999</v>
      </c>
      <c r="G21" s="440">
        <f t="shared" si="11"/>
        <v>0.23749999999999999</v>
      </c>
      <c r="H21" s="437">
        <v>0.95</v>
      </c>
      <c r="I21" s="438">
        <v>0.26</v>
      </c>
      <c r="J21" s="439">
        <v>0.31</v>
      </c>
    </row>
    <row r="22" spans="1:12" ht="39" customHeight="1">
      <c r="A22" s="1077"/>
      <c r="B22" s="1081"/>
      <c r="C22" s="441" t="s">
        <v>11</v>
      </c>
      <c r="D22" s="441" t="s">
        <v>679</v>
      </c>
      <c r="E22" s="441" t="s">
        <v>680</v>
      </c>
      <c r="F22" s="441" t="s">
        <v>681</v>
      </c>
      <c r="G22" s="441" t="s">
        <v>818</v>
      </c>
      <c r="H22" s="442" t="s">
        <v>819</v>
      </c>
      <c r="I22" s="396"/>
      <c r="J22" s="439"/>
    </row>
    <row r="23" spans="1:12" ht="39" customHeight="1">
      <c r="A23" s="1077"/>
      <c r="B23" s="1081"/>
      <c r="C23" s="435" t="s">
        <v>833</v>
      </c>
      <c r="D23" s="443">
        <f>$H$23/4</f>
        <v>1</v>
      </c>
      <c r="E23" s="443">
        <f t="shared" ref="E23:G23" si="12">$H$23/4</f>
        <v>1</v>
      </c>
      <c r="F23" s="443">
        <f t="shared" si="12"/>
        <v>1</v>
      </c>
      <c r="G23" s="443">
        <f t="shared" si="12"/>
        <v>1</v>
      </c>
      <c r="H23" s="450">
        <v>4</v>
      </c>
      <c r="I23" s="438">
        <v>0.5</v>
      </c>
      <c r="J23" s="439">
        <v>0.57999999999999996</v>
      </c>
    </row>
    <row r="24" spans="1:12" ht="39" customHeight="1" thickBot="1">
      <c r="A24" s="1091"/>
      <c r="B24" s="1092"/>
      <c r="C24" s="451" t="s">
        <v>834</v>
      </c>
      <c r="D24" s="452">
        <f>$H$24/4</f>
        <v>0.25</v>
      </c>
      <c r="E24" s="452">
        <f t="shared" ref="E24:G24" si="13">$H$24/4</f>
        <v>0.25</v>
      </c>
      <c r="F24" s="452">
        <f t="shared" si="13"/>
        <v>0.25</v>
      </c>
      <c r="G24" s="452">
        <f t="shared" si="13"/>
        <v>0.25</v>
      </c>
      <c r="H24" s="453">
        <v>1</v>
      </c>
      <c r="I24" s="454">
        <v>0.42</v>
      </c>
      <c r="J24" s="455">
        <v>0.5</v>
      </c>
    </row>
    <row r="25" spans="1:12" ht="39" customHeight="1">
      <c r="A25" s="456" t="s">
        <v>835</v>
      </c>
      <c r="B25" s="457" t="s">
        <v>817</v>
      </c>
      <c r="C25" s="457" t="s">
        <v>10</v>
      </c>
      <c r="D25" s="457" t="s">
        <v>679</v>
      </c>
      <c r="E25" s="457" t="s">
        <v>680</v>
      </c>
      <c r="F25" s="457" t="s">
        <v>681</v>
      </c>
      <c r="G25" s="457" t="s">
        <v>818</v>
      </c>
      <c r="H25" s="458" t="s">
        <v>819</v>
      </c>
      <c r="I25" s="459"/>
      <c r="J25" s="460"/>
    </row>
    <row r="26" spans="1:12" ht="30" customHeight="1">
      <c r="A26" s="1073" t="s">
        <v>836</v>
      </c>
      <c r="B26" s="1075" t="s">
        <v>837</v>
      </c>
      <c r="C26" s="461" t="s">
        <v>120</v>
      </c>
      <c r="D26" s="462">
        <f>$H$26/4</f>
        <v>0.05</v>
      </c>
      <c r="E26" s="462">
        <f t="shared" ref="E26:G26" si="14">$H$26/4</f>
        <v>0.05</v>
      </c>
      <c r="F26" s="462">
        <f t="shared" si="14"/>
        <v>0.05</v>
      </c>
      <c r="G26" s="462">
        <f t="shared" si="14"/>
        <v>0.05</v>
      </c>
      <c r="H26" s="463">
        <v>0.2</v>
      </c>
      <c r="I26" s="438">
        <v>0.35</v>
      </c>
      <c r="J26" s="464">
        <v>0.30990000000000001</v>
      </c>
    </row>
    <row r="27" spans="1:12" ht="25.5" customHeight="1">
      <c r="A27" s="1073"/>
      <c r="B27" s="1075"/>
      <c r="C27" s="461" t="s">
        <v>132</v>
      </c>
      <c r="D27" s="465" t="s">
        <v>838</v>
      </c>
      <c r="E27" s="465" t="s">
        <v>838</v>
      </c>
      <c r="F27" s="465" t="s">
        <v>838</v>
      </c>
      <c r="G27" s="465" t="s">
        <v>838</v>
      </c>
      <c r="H27" s="465" t="s">
        <v>838</v>
      </c>
      <c r="I27" s="438">
        <v>0.42</v>
      </c>
      <c r="J27" s="466">
        <v>0.5</v>
      </c>
    </row>
    <row r="28" spans="1:12" ht="33.75" customHeight="1">
      <c r="A28" s="1073"/>
      <c r="B28" s="1075"/>
      <c r="C28" s="461" t="s">
        <v>839</v>
      </c>
      <c r="D28" s="465" t="s">
        <v>840</v>
      </c>
      <c r="E28" s="465" t="s">
        <v>840</v>
      </c>
      <c r="F28" s="465" t="s">
        <v>840</v>
      </c>
      <c r="G28" s="465" t="s">
        <v>840</v>
      </c>
      <c r="H28" s="465" t="s">
        <v>840</v>
      </c>
      <c r="I28" s="438">
        <v>0.35</v>
      </c>
      <c r="J28" s="466">
        <v>0.42</v>
      </c>
    </row>
    <row r="29" spans="1:12" ht="33" customHeight="1">
      <c r="A29" s="1073"/>
      <c r="B29" s="1075"/>
      <c r="C29" s="461" t="s">
        <v>841</v>
      </c>
      <c r="D29" s="467">
        <v>0</v>
      </c>
      <c r="E29" s="467">
        <v>0</v>
      </c>
      <c r="F29" s="467">
        <v>0</v>
      </c>
      <c r="G29" s="467">
        <v>0</v>
      </c>
      <c r="H29" s="467">
        <v>0</v>
      </c>
      <c r="I29" s="438">
        <v>0.42</v>
      </c>
      <c r="J29" s="466">
        <v>0.5</v>
      </c>
    </row>
    <row r="30" spans="1:12" ht="27.75" customHeight="1">
      <c r="A30" s="1073"/>
      <c r="B30" s="1075"/>
      <c r="C30" s="461" t="s">
        <v>842</v>
      </c>
      <c r="D30" s="465" t="s">
        <v>843</v>
      </c>
      <c r="E30" s="465" t="s">
        <v>843</v>
      </c>
      <c r="F30" s="465" t="s">
        <v>843</v>
      </c>
      <c r="G30" s="465" t="s">
        <v>843</v>
      </c>
      <c r="H30" s="465" t="s">
        <v>843</v>
      </c>
      <c r="I30" s="438">
        <v>0.35</v>
      </c>
      <c r="J30" s="466">
        <v>0.52</v>
      </c>
    </row>
    <row r="31" spans="1:12" ht="31.5" customHeight="1">
      <c r="A31" s="1073"/>
      <c r="B31" s="1075"/>
      <c r="C31" s="468" t="s">
        <v>11</v>
      </c>
      <c r="D31" s="468" t="s">
        <v>679</v>
      </c>
      <c r="E31" s="468" t="s">
        <v>680</v>
      </c>
      <c r="F31" s="468" t="s">
        <v>681</v>
      </c>
      <c r="G31" s="468" t="s">
        <v>818</v>
      </c>
      <c r="H31" s="469" t="s">
        <v>819</v>
      </c>
      <c r="I31" s="396"/>
      <c r="J31" s="466"/>
    </row>
    <row r="32" spans="1:12" ht="28.5" customHeight="1">
      <c r="A32" s="1073"/>
      <c r="B32" s="1075"/>
      <c r="C32" s="461" t="s">
        <v>844</v>
      </c>
      <c r="D32" s="462">
        <v>0.85</v>
      </c>
      <c r="E32" s="462">
        <v>0.85</v>
      </c>
      <c r="F32" s="462">
        <v>0.85</v>
      </c>
      <c r="G32" s="462">
        <v>0.85</v>
      </c>
      <c r="H32" s="463">
        <v>0.85</v>
      </c>
      <c r="I32" s="438">
        <v>0.84</v>
      </c>
      <c r="J32" s="464">
        <v>0.89710000000000001</v>
      </c>
      <c r="K32">
        <f>H32/84*100</f>
        <v>1.0119047619047619</v>
      </c>
      <c r="L32" s="466">
        <v>0.99</v>
      </c>
    </row>
    <row r="33" spans="1:12" ht="33" customHeight="1">
      <c r="A33" s="1073"/>
      <c r="B33" s="1075"/>
      <c r="C33" s="461" t="s">
        <v>845</v>
      </c>
      <c r="D33" s="465" t="s">
        <v>846</v>
      </c>
      <c r="E33" s="465" t="s">
        <v>846</v>
      </c>
      <c r="F33" s="465" t="s">
        <v>846</v>
      </c>
      <c r="G33" s="465" t="s">
        <v>846</v>
      </c>
      <c r="H33" s="465" t="s">
        <v>847</v>
      </c>
      <c r="I33" s="438">
        <v>0.2</v>
      </c>
      <c r="J33" s="466">
        <v>0.28000000000000003</v>
      </c>
    </row>
    <row r="34" spans="1:12" ht="35.25" customHeight="1">
      <c r="A34" s="1073"/>
      <c r="B34" s="1075"/>
      <c r="C34" s="461" t="s">
        <v>848</v>
      </c>
      <c r="D34" s="462">
        <v>0.76</v>
      </c>
      <c r="E34" s="462">
        <v>0.76</v>
      </c>
      <c r="F34" s="462">
        <v>0.76</v>
      </c>
      <c r="G34" s="462">
        <v>0.76</v>
      </c>
      <c r="H34" s="463">
        <v>0.76</v>
      </c>
      <c r="I34" s="445">
        <v>0.17829999999999999</v>
      </c>
      <c r="J34" s="464">
        <v>0.33700000000000002</v>
      </c>
    </row>
    <row r="35" spans="1:12" ht="29.25" customHeight="1">
      <c r="A35" s="1073"/>
      <c r="B35" s="1075"/>
      <c r="C35" s="461" t="s">
        <v>849</v>
      </c>
      <c r="D35" s="470">
        <f>$H$35/4</f>
        <v>2.5000000000000001E-2</v>
      </c>
      <c r="E35" s="470">
        <f t="shared" ref="E35:G35" si="15">$H$35/4</f>
        <v>2.5000000000000001E-2</v>
      </c>
      <c r="F35" s="470">
        <f t="shared" si="15"/>
        <v>2.5000000000000001E-2</v>
      </c>
      <c r="G35" s="470">
        <f t="shared" si="15"/>
        <v>2.5000000000000001E-2</v>
      </c>
      <c r="H35" s="463">
        <v>0.1</v>
      </c>
      <c r="I35" s="438">
        <v>0.08</v>
      </c>
      <c r="J35" s="464">
        <v>9.5200000000000007E-2</v>
      </c>
    </row>
    <row r="36" spans="1:12" ht="26.25" customHeight="1">
      <c r="A36" s="1073"/>
      <c r="B36" s="1075"/>
      <c r="C36" s="461" t="s">
        <v>160</v>
      </c>
      <c r="D36" s="471">
        <f>$H$36/4</f>
        <v>0.1875</v>
      </c>
      <c r="E36" s="471">
        <f t="shared" ref="E36:G36" si="16">$H$36/4</f>
        <v>0.1875</v>
      </c>
      <c r="F36" s="471">
        <f t="shared" si="16"/>
        <v>0.1875</v>
      </c>
      <c r="G36" s="471">
        <f t="shared" si="16"/>
        <v>0.1875</v>
      </c>
      <c r="H36" s="463">
        <v>0.75</v>
      </c>
      <c r="I36" s="438">
        <v>0.35</v>
      </c>
      <c r="J36" s="464">
        <v>0.48670000000000002</v>
      </c>
    </row>
    <row r="37" spans="1:12" ht="25.5" customHeight="1">
      <c r="A37" s="1073"/>
      <c r="B37" s="1075"/>
      <c r="C37" s="461" t="s">
        <v>162</v>
      </c>
      <c r="D37" s="462">
        <v>0.05</v>
      </c>
      <c r="E37" s="462">
        <v>0.05</v>
      </c>
      <c r="F37" s="462">
        <v>0.05</v>
      </c>
      <c r="G37" s="462">
        <v>0.05</v>
      </c>
      <c r="H37" s="463">
        <v>0.05</v>
      </c>
      <c r="I37" s="438">
        <v>0.17</v>
      </c>
      <c r="J37" s="464">
        <v>0.17710000000000001</v>
      </c>
    </row>
    <row r="38" spans="1:12" ht="31.5" customHeight="1">
      <c r="A38" s="1073"/>
      <c r="B38" s="1075"/>
      <c r="C38" s="461" t="s">
        <v>165</v>
      </c>
      <c r="D38" s="463">
        <v>1</v>
      </c>
      <c r="E38" s="463">
        <v>1</v>
      </c>
      <c r="F38" s="463">
        <v>1</v>
      </c>
      <c r="G38" s="463">
        <v>1</v>
      </c>
      <c r="H38" s="463">
        <v>1</v>
      </c>
      <c r="I38" s="438">
        <v>0.93</v>
      </c>
      <c r="J38" s="466">
        <v>1.55</v>
      </c>
    </row>
    <row r="39" spans="1:12" ht="31.5" customHeight="1">
      <c r="A39" s="1073"/>
      <c r="B39" s="1075"/>
      <c r="C39" s="461" t="s">
        <v>308</v>
      </c>
      <c r="D39" s="472">
        <v>1</v>
      </c>
      <c r="E39" s="472">
        <v>1</v>
      </c>
      <c r="F39" s="472">
        <v>1</v>
      </c>
      <c r="G39" s="472">
        <v>1</v>
      </c>
      <c r="H39" s="467">
        <v>1</v>
      </c>
      <c r="I39" s="438">
        <v>0.24</v>
      </c>
      <c r="J39" s="466">
        <v>0.24</v>
      </c>
    </row>
    <row r="40" spans="1:12" ht="31.5" customHeight="1">
      <c r="A40" s="1073"/>
      <c r="B40" s="1075"/>
      <c r="C40" s="461" t="s">
        <v>850</v>
      </c>
      <c r="D40" s="472">
        <v>1</v>
      </c>
      <c r="E40" s="472">
        <v>1</v>
      </c>
      <c r="F40" s="472">
        <v>1</v>
      </c>
      <c r="G40" s="472">
        <v>1</v>
      </c>
      <c r="H40" s="467">
        <v>1</v>
      </c>
      <c r="I40" s="438">
        <v>0.32</v>
      </c>
      <c r="J40" s="466">
        <v>0.42</v>
      </c>
    </row>
    <row r="41" spans="1:12" ht="31.5" customHeight="1">
      <c r="A41" s="1073"/>
      <c r="B41" s="1075"/>
      <c r="C41" s="461" t="s">
        <v>851</v>
      </c>
      <c r="D41" s="463">
        <v>0.4</v>
      </c>
      <c r="E41" s="463">
        <v>0.4</v>
      </c>
      <c r="F41" s="463">
        <v>0.4</v>
      </c>
      <c r="G41" s="463">
        <v>0.4</v>
      </c>
      <c r="H41" s="463">
        <v>0.4</v>
      </c>
      <c r="I41" s="438">
        <v>0.22159999999999999</v>
      </c>
      <c r="J41" s="466">
        <v>0.24</v>
      </c>
    </row>
    <row r="42" spans="1:12" ht="31.5" customHeight="1">
      <c r="A42" s="1073"/>
      <c r="B42" s="1075"/>
      <c r="C42" s="461" t="s">
        <v>852</v>
      </c>
      <c r="D42" s="465" t="s">
        <v>853</v>
      </c>
      <c r="E42" s="465" t="s">
        <v>853</v>
      </c>
      <c r="F42" s="465" t="s">
        <v>853</v>
      </c>
      <c r="G42" s="465" t="s">
        <v>853</v>
      </c>
      <c r="H42" s="465" t="s">
        <v>853</v>
      </c>
      <c r="I42" s="445">
        <v>0.95</v>
      </c>
      <c r="J42" s="473">
        <v>1.0306</v>
      </c>
      <c r="K42" s="474">
        <f>0.95*100/1.3</f>
        <v>73.07692307692308</v>
      </c>
      <c r="L42" s="466">
        <v>73</v>
      </c>
    </row>
    <row r="43" spans="1:12" ht="31.5" customHeight="1">
      <c r="A43" s="1073"/>
      <c r="B43" s="1075"/>
      <c r="C43" s="461" t="s">
        <v>854</v>
      </c>
      <c r="D43" s="465" t="s">
        <v>853</v>
      </c>
      <c r="E43" s="465" t="s">
        <v>853</v>
      </c>
      <c r="F43" s="465" t="s">
        <v>853</v>
      </c>
      <c r="G43" s="465" t="s">
        <v>853</v>
      </c>
      <c r="H43" s="465" t="s">
        <v>853</v>
      </c>
      <c r="I43" s="445">
        <v>0.89</v>
      </c>
      <c r="J43" s="464">
        <v>0.98080000000000001</v>
      </c>
      <c r="K43" s="474">
        <f>0.89*100/1.3</f>
        <v>68.461538461538453</v>
      </c>
      <c r="L43" s="466">
        <v>68</v>
      </c>
    </row>
    <row r="44" spans="1:12" ht="31.5" customHeight="1">
      <c r="A44" s="1073"/>
      <c r="B44" s="1075"/>
      <c r="C44" s="461" t="s">
        <v>855</v>
      </c>
      <c r="D44" s="463">
        <v>0.75</v>
      </c>
      <c r="E44" s="463">
        <v>0.75</v>
      </c>
      <c r="F44" s="463">
        <v>0.75</v>
      </c>
      <c r="G44" s="463">
        <v>0.75</v>
      </c>
      <c r="H44" s="463">
        <v>0.75</v>
      </c>
      <c r="I44" s="445">
        <v>0.7</v>
      </c>
      <c r="J44" s="464">
        <v>0.71830000000000005</v>
      </c>
      <c r="K44" s="378"/>
      <c r="L44" s="466">
        <v>0.93</v>
      </c>
    </row>
    <row r="45" spans="1:12" ht="32.25" customHeight="1">
      <c r="A45" s="1073"/>
      <c r="B45" s="1075" t="s">
        <v>856</v>
      </c>
      <c r="C45" s="468" t="s">
        <v>10</v>
      </c>
      <c r="D45" s="468" t="s">
        <v>679</v>
      </c>
      <c r="E45" s="468" t="s">
        <v>680</v>
      </c>
      <c r="F45" s="468" t="s">
        <v>681</v>
      </c>
      <c r="G45" s="468" t="s">
        <v>818</v>
      </c>
      <c r="H45" s="469" t="s">
        <v>819</v>
      </c>
      <c r="I45" s="396"/>
      <c r="J45" s="466"/>
    </row>
    <row r="46" spans="1:12" ht="81.75" customHeight="1">
      <c r="A46" s="1073"/>
      <c r="B46" s="1075"/>
      <c r="C46" s="461" t="s">
        <v>857</v>
      </c>
      <c r="D46" s="463">
        <v>0.84</v>
      </c>
      <c r="E46" s="463">
        <v>0.84</v>
      </c>
      <c r="F46" s="463">
        <v>0.84</v>
      </c>
      <c r="G46" s="463">
        <v>0.84</v>
      </c>
      <c r="H46" s="463">
        <v>0.84</v>
      </c>
      <c r="I46" s="438">
        <v>0.42</v>
      </c>
      <c r="J46" s="466">
        <v>0.5</v>
      </c>
    </row>
    <row r="47" spans="1:12" ht="38.25" customHeight="1">
      <c r="A47" s="1073"/>
      <c r="B47" s="1075"/>
      <c r="C47" s="461" t="s">
        <v>858</v>
      </c>
      <c r="D47" s="463" t="s">
        <v>859</v>
      </c>
      <c r="E47" s="463" t="s">
        <v>859</v>
      </c>
      <c r="F47" s="463" t="s">
        <v>859</v>
      </c>
      <c r="G47" s="463" t="s">
        <v>859</v>
      </c>
      <c r="H47" s="463" t="s">
        <v>859</v>
      </c>
      <c r="I47" s="438">
        <v>0.42</v>
      </c>
      <c r="J47" s="466">
        <v>0.59</v>
      </c>
    </row>
    <row r="48" spans="1:12" ht="42" customHeight="1">
      <c r="A48" s="1073"/>
      <c r="B48" s="1075"/>
      <c r="C48" s="461" t="s">
        <v>194</v>
      </c>
      <c r="D48" s="465" t="s">
        <v>860</v>
      </c>
      <c r="E48" s="465" t="s">
        <v>860</v>
      </c>
      <c r="F48" s="465" t="s">
        <v>860</v>
      </c>
      <c r="G48" s="465" t="s">
        <v>860</v>
      </c>
      <c r="H48" s="465" t="s">
        <v>860</v>
      </c>
      <c r="I48" s="438">
        <v>0.42</v>
      </c>
      <c r="J48" s="466">
        <v>0.5</v>
      </c>
    </row>
    <row r="49" spans="1:13" ht="42" customHeight="1">
      <c r="A49" s="1073"/>
      <c r="B49" s="1075"/>
      <c r="C49" s="468" t="s">
        <v>11</v>
      </c>
      <c r="D49" s="468" t="s">
        <v>679</v>
      </c>
      <c r="E49" s="468" t="s">
        <v>680</v>
      </c>
      <c r="F49" s="468" t="s">
        <v>681</v>
      </c>
      <c r="G49" s="468" t="s">
        <v>818</v>
      </c>
      <c r="H49" s="469" t="s">
        <v>819</v>
      </c>
      <c r="I49" s="396"/>
      <c r="J49" s="466"/>
    </row>
    <row r="50" spans="1:13" ht="42" customHeight="1">
      <c r="A50" s="1073"/>
      <c r="B50" s="1075"/>
      <c r="C50" s="461" t="s">
        <v>861</v>
      </c>
      <c r="D50" s="472">
        <v>1</v>
      </c>
      <c r="E50" s="472">
        <v>1</v>
      </c>
      <c r="F50" s="472">
        <v>1</v>
      </c>
      <c r="G50" s="472">
        <v>1</v>
      </c>
      <c r="H50" s="467">
        <v>1</v>
      </c>
      <c r="I50" s="438">
        <v>0.42</v>
      </c>
      <c r="J50" s="466">
        <v>0.5</v>
      </c>
    </row>
    <row r="51" spans="1:13" ht="32.25" customHeight="1">
      <c r="A51" s="1073"/>
      <c r="B51" s="1075"/>
      <c r="C51" s="461" t="s">
        <v>862</v>
      </c>
      <c r="D51" s="472">
        <v>1</v>
      </c>
      <c r="E51" s="472">
        <v>1</v>
      </c>
      <c r="F51" s="472">
        <v>1</v>
      </c>
      <c r="G51" s="472">
        <v>1</v>
      </c>
      <c r="H51" s="467">
        <v>1</v>
      </c>
      <c r="I51" s="438">
        <v>0</v>
      </c>
      <c r="J51" s="466">
        <v>0</v>
      </c>
    </row>
    <row r="52" spans="1:13" ht="42" customHeight="1">
      <c r="A52" s="1073"/>
      <c r="B52" s="1075"/>
      <c r="C52" s="461" t="s">
        <v>863</v>
      </c>
      <c r="D52" s="463">
        <v>1</v>
      </c>
      <c r="E52" s="463">
        <v>1</v>
      </c>
      <c r="F52" s="463">
        <v>1</v>
      </c>
      <c r="G52" s="463">
        <v>1</v>
      </c>
      <c r="H52" s="463">
        <v>1</v>
      </c>
      <c r="I52" s="438">
        <v>0.3</v>
      </c>
      <c r="J52" s="466">
        <v>0.38</v>
      </c>
    </row>
    <row r="53" spans="1:13" ht="42" customHeight="1">
      <c r="A53" s="1073"/>
      <c r="B53" s="1075"/>
      <c r="C53" s="461" t="s">
        <v>864</v>
      </c>
      <c r="D53" s="463">
        <v>1</v>
      </c>
      <c r="E53" s="463">
        <v>1</v>
      </c>
      <c r="F53" s="463">
        <v>1</v>
      </c>
      <c r="G53" s="463">
        <v>1</v>
      </c>
      <c r="H53" s="463">
        <v>1</v>
      </c>
      <c r="I53" s="438">
        <v>0.3</v>
      </c>
      <c r="J53" s="466">
        <v>0.36</v>
      </c>
    </row>
    <row r="54" spans="1:13" ht="46.5" customHeight="1">
      <c r="A54" s="1073"/>
      <c r="B54" s="1075"/>
      <c r="C54" s="461" t="s">
        <v>865</v>
      </c>
      <c r="D54" s="463">
        <v>0.84</v>
      </c>
      <c r="E54" s="463">
        <v>0.84</v>
      </c>
      <c r="F54" s="463">
        <v>0.84</v>
      </c>
      <c r="G54" s="463">
        <v>0.84</v>
      </c>
      <c r="H54" s="463">
        <v>0.84</v>
      </c>
      <c r="I54" s="438">
        <v>0.42</v>
      </c>
      <c r="J54" s="466">
        <v>0.5</v>
      </c>
    </row>
    <row r="55" spans="1:13" ht="42" customHeight="1">
      <c r="A55" s="1073"/>
      <c r="B55" s="1075"/>
      <c r="C55" s="461" t="s">
        <v>866</v>
      </c>
      <c r="D55" s="463">
        <v>1</v>
      </c>
      <c r="E55" s="463">
        <v>1</v>
      </c>
      <c r="F55" s="463">
        <v>1</v>
      </c>
      <c r="G55" s="463">
        <v>1</v>
      </c>
      <c r="H55" s="463">
        <v>1</v>
      </c>
      <c r="I55" s="438">
        <v>0.36</v>
      </c>
      <c r="J55" s="466">
        <v>0.42</v>
      </c>
    </row>
    <row r="56" spans="1:13" ht="42" customHeight="1">
      <c r="A56" s="1073"/>
      <c r="B56" s="1075"/>
      <c r="C56" s="461" t="s">
        <v>867</v>
      </c>
      <c r="D56" s="463">
        <v>1</v>
      </c>
      <c r="E56" s="463">
        <v>1</v>
      </c>
      <c r="F56" s="463">
        <v>1</v>
      </c>
      <c r="G56" s="463">
        <v>1</v>
      </c>
      <c r="H56" s="463">
        <v>1</v>
      </c>
      <c r="I56" s="438">
        <v>0.36</v>
      </c>
      <c r="J56" s="466">
        <v>0.42</v>
      </c>
    </row>
    <row r="57" spans="1:13" ht="39" customHeight="1" thickBot="1">
      <c r="A57" s="1079"/>
      <c r="B57" s="1080"/>
      <c r="C57" s="475" t="s">
        <v>868</v>
      </c>
      <c r="D57" s="463">
        <v>1</v>
      </c>
      <c r="E57" s="463">
        <v>1</v>
      </c>
      <c r="F57" s="463">
        <v>1</v>
      </c>
      <c r="G57" s="463">
        <v>1</v>
      </c>
      <c r="H57" s="476">
        <v>1</v>
      </c>
      <c r="I57" s="438">
        <v>0.36</v>
      </c>
      <c r="J57" s="466">
        <v>0.43</v>
      </c>
    </row>
    <row r="58" spans="1:13" ht="39" customHeight="1">
      <c r="A58" s="430" t="s">
        <v>869</v>
      </c>
      <c r="B58" s="431" t="s">
        <v>817</v>
      </c>
      <c r="C58" s="431" t="s">
        <v>10</v>
      </c>
      <c r="D58" s="431" t="s">
        <v>679</v>
      </c>
      <c r="E58" s="431" t="s">
        <v>680</v>
      </c>
      <c r="F58" s="431" t="s">
        <v>681</v>
      </c>
      <c r="G58" s="431" t="s">
        <v>818</v>
      </c>
      <c r="H58" s="432" t="s">
        <v>819</v>
      </c>
      <c r="I58" s="396"/>
      <c r="J58" s="466"/>
    </row>
    <row r="59" spans="1:13" ht="30" customHeight="1">
      <c r="A59" s="1077" t="s">
        <v>870</v>
      </c>
      <c r="B59" s="1081" t="s">
        <v>871</v>
      </c>
      <c r="C59" s="435" t="s">
        <v>872</v>
      </c>
      <c r="D59" s="450"/>
      <c r="E59" s="450"/>
      <c r="F59" s="450"/>
      <c r="G59" s="450"/>
      <c r="H59" s="450">
        <v>3</v>
      </c>
      <c r="I59" s="438">
        <v>0.67</v>
      </c>
      <c r="J59" s="477">
        <v>0.85699999999999998</v>
      </c>
    </row>
    <row r="60" spans="1:13" ht="51.75" customHeight="1">
      <c r="A60" s="1077"/>
      <c r="B60" s="1081"/>
      <c r="C60" s="435" t="s">
        <v>873</v>
      </c>
      <c r="D60" s="437">
        <v>0.6</v>
      </c>
      <c r="E60" s="437">
        <v>0.6</v>
      </c>
      <c r="F60" s="437">
        <v>0.6</v>
      </c>
      <c r="G60" s="437">
        <v>0.6</v>
      </c>
      <c r="H60" s="437">
        <v>0.6</v>
      </c>
      <c r="I60" s="438">
        <v>0</v>
      </c>
      <c r="J60" s="466">
        <v>0</v>
      </c>
      <c r="K60" s="478"/>
      <c r="M60" s="466">
        <v>1</v>
      </c>
    </row>
    <row r="61" spans="1:13" ht="57" customHeight="1">
      <c r="A61" s="1077"/>
      <c r="B61" s="1081"/>
      <c r="C61" s="435" t="s">
        <v>874</v>
      </c>
      <c r="D61" s="450">
        <v>6</v>
      </c>
      <c r="E61" s="450">
        <v>6</v>
      </c>
      <c r="F61" s="450">
        <v>6</v>
      </c>
      <c r="G61" s="450">
        <v>6</v>
      </c>
      <c r="H61" s="450">
        <v>6</v>
      </c>
      <c r="I61" s="438">
        <v>0</v>
      </c>
      <c r="J61" s="477">
        <v>0.41670000000000001</v>
      </c>
      <c r="M61" s="466">
        <v>2</v>
      </c>
    </row>
    <row r="62" spans="1:13" ht="50.25" customHeight="1">
      <c r="A62" s="1077"/>
      <c r="B62" s="1081"/>
      <c r="C62" s="435" t="s">
        <v>276</v>
      </c>
      <c r="D62" s="437">
        <v>0.6</v>
      </c>
      <c r="E62" s="437">
        <v>0.6</v>
      </c>
      <c r="F62" s="437">
        <v>0.6</v>
      </c>
      <c r="G62" s="437">
        <v>0.6</v>
      </c>
      <c r="H62" s="437">
        <v>0.6</v>
      </c>
      <c r="I62" s="445">
        <v>0.80269999999999997</v>
      </c>
      <c r="J62" s="464">
        <v>0.78400000000000003</v>
      </c>
      <c r="K62" s="479"/>
      <c r="M62" s="466">
        <v>3</v>
      </c>
    </row>
    <row r="63" spans="1:13" ht="27.75" customHeight="1">
      <c r="A63" s="1077"/>
      <c r="B63" s="1081"/>
      <c r="C63" s="435" t="s">
        <v>875</v>
      </c>
      <c r="D63" s="437">
        <v>0.9</v>
      </c>
      <c r="E63" s="437">
        <v>0.9</v>
      </c>
      <c r="F63" s="437">
        <v>0.9</v>
      </c>
      <c r="G63" s="437">
        <v>0.9</v>
      </c>
      <c r="H63" s="437">
        <v>0.9</v>
      </c>
      <c r="I63" s="438">
        <v>0.26</v>
      </c>
      <c r="J63" s="466">
        <v>0.34</v>
      </c>
      <c r="M63" s="466">
        <v>4</v>
      </c>
    </row>
    <row r="64" spans="1:13" ht="33.75" customHeight="1">
      <c r="A64" s="1077"/>
      <c r="B64" s="1081"/>
      <c r="C64" s="441" t="s">
        <v>11</v>
      </c>
      <c r="D64" s="441" t="s">
        <v>679</v>
      </c>
      <c r="E64" s="441" t="s">
        <v>680</v>
      </c>
      <c r="F64" s="441" t="s">
        <v>681</v>
      </c>
      <c r="G64" s="441" t="s">
        <v>818</v>
      </c>
      <c r="H64" s="442" t="s">
        <v>819</v>
      </c>
      <c r="I64" s="438"/>
      <c r="J64" s="466"/>
      <c r="M64" s="466"/>
    </row>
    <row r="65" spans="1:13" ht="32.25" customHeight="1">
      <c r="A65" s="1077"/>
      <c r="B65" s="1081"/>
      <c r="C65" s="435" t="s">
        <v>876</v>
      </c>
      <c r="D65" s="450">
        <v>0</v>
      </c>
      <c r="E65" s="450">
        <v>0</v>
      </c>
      <c r="F65" s="450">
        <v>0</v>
      </c>
      <c r="G65" s="450">
        <v>0</v>
      </c>
      <c r="H65" s="450">
        <v>0</v>
      </c>
      <c r="I65" s="438">
        <v>0</v>
      </c>
      <c r="J65" s="466">
        <v>0</v>
      </c>
      <c r="M65" s="466">
        <v>5</v>
      </c>
    </row>
    <row r="66" spans="1:13" ht="34.5" customHeight="1">
      <c r="A66" s="1077"/>
      <c r="B66" s="1081"/>
      <c r="C66" s="435" t="s">
        <v>877</v>
      </c>
      <c r="D66" s="450">
        <v>0</v>
      </c>
      <c r="E66" s="450">
        <v>0</v>
      </c>
      <c r="F66" s="450">
        <v>0</v>
      </c>
      <c r="G66" s="450">
        <v>0</v>
      </c>
      <c r="H66" s="450">
        <v>0</v>
      </c>
      <c r="I66" s="438">
        <v>0.42</v>
      </c>
      <c r="J66" s="466">
        <v>0.5</v>
      </c>
      <c r="M66" s="466"/>
    </row>
    <row r="67" spans="1:13" ht="30.75" customHeight="1">
      <c r="A67" s="1077"/>
      <c r="B67" s="1081"/>
      <c r="C67" s="435" t="s">
        <v>878</v>
      </c>
      <c r="D67" s="450">
        <v>0</v>
      </c>
      <c r="E67" s="450">
        <v>0</v>
      </c>
      <c r="F67" s="450">
        <v>0</v>
      </c>
      <c r="G67" s="450">
        <v>0</v>
      </c>
      <c r="H67" s="450">
        <v>0</v>
      </c>
      <c r="I67" s="438">
        <v>0</v>
      </c>
      <c r="J67" s="466">
        <v>0</v>
      </c>
      <c r="M67" s="466">
        <v>6</v>
      </c>
    </row>
    <row r="68" spans="1:13" ht="30" customHeight="1">
      <c r="A68" s="1077"/>
      <c r="B68" s="1081"/>
      <c r="C68" s="435" t="s">
        <v>879</v>
      </c>
      <c r="D68" s="450">
        <v>0</v>
      </c>
      <c r="E68" s="450">
        <v>0</v>
      </c>
      <c r="F68" s="450">
        <v>0</v>
      </c>
      <c r="G68" s="450">
        <v>0</v>
      </c>
      <c r="H68" s="450">
        <v>0</v>
      </c>
      <c r="I68" s="438">
        <v>0</v>
      </c>
      <c r="J68" s="466">
        <v>0</v>
      </c>
      <c r="M68" s="466">
        <v>7</v>
      </c>
    </row>
    <row r="69" spans="1:13" ht="49.5" customHeight="1">
      <c r="A69" s="1077"/>
      <c r="B69" s="1081"/>
      <c r="C69" s="435" t="s">
        <v>880</v>
      </c>
      <c r="D69" s="437">
        <v>0.95</v>
      </c>
      <c r="E69" s="437">
        <v>0.95</v>
      </c>
      <c r="F69" s="437">
        <v>0.95</v>
      </c>
      <c r="G69" s="437">
        <v>0.95</v>
      </c>
      <c r="H69" s="437">
        <v>0.95</v>
      </c>
      <c r="I69" s="438">
        <v>0</v>
      </c>
      <c r="J69" s="466">
        <v>0</v>
      </c>
      <c r="K69" s="479"/>
      <c r="M69" s="466">
        <v>8</v>
      </c>
    </row>
    <row r="70" spans="1:13" ht="25.5" customHeight="1">
      <c r="A70" s="1077"/>
      <c r="B70" s="1081"/>
      <c r="C70" s="435" t="s">
        <v>277</v>
      </c>
      <c r="D70" s="437">
        <v>1</v>
      </c>
      <c r="E70" s="437">
        <v>1</v>
      </c>
      <c r="F70" s="437">
        <v>1</v>
      </c>
      <c r="G70" s="437">
        <v>1</v>
      </c>
      <c r="H70" s="437">
        <v>1</v>
      </c>
      <c r="I70" s="438">
        <v>1</v>
      </c>
      <c r="J70" s="466">
        <v>1</v>
      </c>
    </row>
    <row r="71" spans="1:13" ht="27.75" customHeight="1">
      <c r="A71" s="1077"/>
      <c r="B71" s="1081"/>
      <c r="C71" s="435" t="s">
        <v>881</v>
      </c>
      <c r="D71" s="437" t="s">
        <v>882</v>
      </c>
      <c r="E71" s="437" t="s">
        <v>882</v>
      </c>
      <c r="F71" s="437" t="s">
        <v>882</v>
      </c>
      <c r="G71" s="437" t="s">
        <v>882</v>
      </c>
      <c r="H71" s="437" t="s">
        <v>882</v>
      </c>
      <c r="I71" s="480">
        <v>3.2000000000000001E-2</v>
      </c>
      <c r="J71" s="477">
        <v>3.2000000000000001E-2</v>
      </c>
    </row>
    <row r="72" spans="1:13" ht="33" customHeight="1">
      <c r="A72" s="1077"/>
      <c r="B72" s="1081"/>
      <c r="C72" s="435" t="s">
        <v>883</v>
      </c>
      <c r="D72" s="481" t="s">
        <v>884</v>
      </c>
      <c r="E72" s="481" t="s">
        <v>884</v>
      </c>
      <c r="F72" s="481" t="s">
        <v>884</v>
      </c>
      <c r="G72" s="481" t="s">
        <v>884</v>
      </c>
      <c r="H72" s="481" t="s">
        <v>884</v>
      </c>
      <c r="I72" s="480">
        <v>4.9000000000000002E-2</v>
      </c>
      <c r="J72" s="464">
        <v>5.9499999999999997E-2</v>
      </c>
    </row>
    <row r="73" spans="1:13" ht="39" customHeight="1">
      <c r="A73" s="1077"/>
      <c r="B73" s="1081"/>
      <c r="C73" s="435" t="s">
        <v>885</v>
      </c>
      <c r="D73" s="481" t="s">
        <v>886</v>
      </c>
      <c r="E73" s="481" t="s">
        <v>886</v>
      </c>
      <c r="F73" s="481" t="s">
        <v>886</v>
      </c>
      <c r="G73" s="481" t="s">
        <v>886</v>
      </c>
      <c r="H73" s="481" t="s">
        <v>886</v>
      </c>
      <c r="I73" s="438">
        <v>0.04</v>
      </c>
      <c r="J73" s="477">
        <v>4.19E-2</v>
      </c>
    </row>
    <row r="74" spans="1:13" ht="37.5" customHeight="1">
      <c r="A74" s="1077"/>
      <c r="B74" s="1081"/>
      <c r="C74" s="435" t="s">
        <v>887</v>
      </c>
      <c r="D74" s="481" t="s">
        <v>888</v>
      </c>
      <c r="E74" s="481" t="s">
        <v>888</v>
      </c>
      <c r="F74" s="481" t="s">
        <v>888</v>
      </c>
      <c r="G74" s="481" t="s">
        <v>888</v>
      </c>
      <c r="H74" s="481" t="s">
        <v>888</v>
      </c>
      <c r="I74" s="438">
        <v>7.0000000000000007E-2</v>
      </c>
      <c r="J74" s="464">
        <v>7.5399999999999995E-2</v>
      </c>
    </row>
    <row r="75" spans="1:13" ht="33" customHeight="1">
      <c r="A75" s="1077"/>
      <c r="B75" s="1081"/>
      <c r="C75" s="435" t="s">
        <v>889</v>
      </c>
      <c r="D75" s="481" t="s">
        <v>890</v>
      </c>
      <c r="E75" s="481" t="s">
        <v>890</v>
      </c>
      <c r="F75" s="481" t="s">
        <v>890</v>
      </c>
      <c r="G75" s="481" t="s">
        <v>890</v>
      </c>
      <c r="H75" s="481" t="s">
        <v>890</v>
      </c>
      <c r="I75" s="438">
        <v>0.13</v>
      </c>
      <c r="J75" s="464">
        <v>0.1089</v>
      </c>
    </row>
    <row r="76" spans="1:13" ht="49.5" customHeight="1">
      <c r="A76" s="1077"/>
      <c r="B76" s="1081"/>
      <c r="C76" s="435" t="s">
        <v>891</v>
      </c>
      <c r="D76" s="481" t="s">
        <v>892</v>
      </c>
      <c r="E76" s="481" t="s">
        <v>892</v>
      </c>
      <c r="F76" s="481" t="s">
        <v>892</v>
      </c>
      <c r="G76" s="481" t="s">
        <v>892</v>
      </c>
      <c r="H76" s="481" t="s">
        <v>892</v>
      </c>
      <c r="I76" s="438">
        <v>0.23</v>
      </c>
      <c r="J76" s="464">
        <v>0.24579999999999999</v>
      </c>
    </row>
    <row r="77" spans="1:13" ht="33" customHeight="1">
      <c r="A77" s="1077"/>
      <c r="B77" s="1081"/>
      <c r="C77" s="435" t="s">
        <v>268</v>
      </c>
      <c r="D77" s="437">
        <v>0.88</v>
      </c>
      <c r="E77" s="437">
        <v>0.88</v>
      </c>
      <c r="F77" s="437">
        <v>0.88</v>
      </c>
      <c r="G77" s="437">
        <v>0.88</v>
      </c>
      <c r="H77" s="437">
        <v>0.88</v>
      </c>
      <c r="I77" s="438">
        <v>0.54</v>
      </c>
      <c r="J77" s="477">
        <v>0.66</v>
      </c>
    </row>
    <row r="78" spans="1:13" ht="33" customHeight="1">
      <c r="A78" s="1077"/>
      <c r="B78" s="1081"/>
      <c r="C78" s="435" t="s">
        <v>893</v>
      </c>
      <c r="D78" s="437">
        <v>0.85</v>
      </c>
      <c r="E78" s="437">
        <v>0.85</v>
      </c>
      <c r="F78" s="437">
        <v>0.85</v>
      </c>
      <c r="G78" s="437">
        <v>0.85</v>
      </c>
      <c r="H78" s="437">
        <v>0.85</v>
      </c>
      <c r="I78" s="438">
        <v>0.72</v>
      </c>
      <c r="J78" s="477">
        <v>0.71350000000000002</v>
      </c>
    </row>
    <row r="79" spans="1:13" ht="33" customHeight="1">
      <c r="A79" s="1077"/>
      <c r="B79" s="1081"/>
      <c r="C79" s="435" t="s">
        <v>894</v>
      </c>
      <c r="D79" s="437">
        <v>0.9</v>
      </c>
      <c r="E79" s="437">
        <v>0.9</v>
      </c>
      <c r="F79" s="437">
        <v>0.9</v>
      </c>
      <c r="G79" s="437">
        <v>0.9</v>
      </c>
      <c r="H79" s="437">
        <v>0.9</v>
      </c>
      <c r="I79" s="438">
        <v>0.96</v>
      </c>
      <c r="J79" s="477">
        <v>1</v>
      </c>
    </row>
    <row r="80" spans="1:13" ht="49.5" customHeight="1">
      <c r="A80" s="1077"/>
      <c r="B80" s="1081"/>
      <c r="C80" s="435" t="s">
        <v>895</v>
      </c>
      <c r="D80" s="437">
        <v>0.9</v>
      </c>
      <c r="E80" s="437">
        <v>0.9</v>
      </c>
      <c r="F80" s="437">
        <v>0.9</v>
      </c>
      <c r="G80" s="437">
        <v>0.9</v>
      </c>
      <c r="H80" s="437">
        <v>0.9</v>
      </c>
      <c r="I80" s="438">
        <v>0.6</v>
      </c>
      <c r="J80" s="466">
        <v>1</v>
      </c>
    </row>
    <row r="81" spans="1:13" ht="38.25" customHeight="1">
      <c r="A81" s="1077"/>
      <c r="B81" s="1081"/>
      <c r="C81" s="435" t="s">
        <v>896</v>
      </c>
      <c r="D81" s="437">
        <v>1</v>
      </c>
      <c r="E81" s="437">
        <v>1</v>
      </c>
      <c r="F81" s="437">
        <v>1</v>
      </c>
      <c r="G81" s="437">
        <v>1</v>
      </c>
      <c r="H81" s="437">
        <v>1</v>
      </c>
      <c r="I81" s="438">
        <v>0</v>
      </c>
      <c r="J81" s="466">
        <v>0</v>
      </c>
      <c r="M81" s="466">
        <v>0.09</v>
      </c>
    </row>
    <row r="82" spans="1:13" ht="37.5" customHeight="1">
      <c r="A82" s="1077"/>
      <c r="B82" s="1081"/>
      <c r="C82" s="435" t="s">
        <v>897</v>
      </c>
      <c r="D82" s="443">
        <f>$H$82/4</f>
        <v>1299</v>
      </c>
      <c r="E82" s="443">
        <f t="shared" ref="E82:G82" si="17">$H$82/4</f>
        <v>1299</v>
      </c>
      <c r="F82" s="443">
        <f t="shared" si="17"/>
        <v>1299</v>
      </c>
      <c r="G82" s="443">
        <f t="shared" si="17"/>
        <v>1299</v>
      </c>
      <c r="H82" s="482">
        <v>5196</v>
      </c>
      <c r="I82" s="438">
        <v>0.26</v>
      </c>
      <c r="J82" s="466">
        <v>0.65</v>
      </c>
      <c r="M82" s="466"/>
    </row>
    <row r="83" spans="1:13" ht="37.5" customHeight="1">
      <c r="A83" s="1077"/>
      <c r="B83" s="1084" t="s">
        <v>898</v>
      </c>
      <c r="C83" s="441" t="s">
        <v>10</v>
      </c>
      <c r="D83" s="441" t="s">
        <v>679</v>
      </c>
      <c r="E83" s="441" t="s">
        <v>680</v>
      </c>
      <c r="F83" s="441" t="s">
        <v>681</v>
      </c>
      <c r="G83" s="441" t="s">
        <v>818</v>
      </c>
      <c r="H83" s="442" t="s">
        <v>819</v>
      </c>
      <c r="I83" s="438"/>
      <c r="J83" s="466"/>
      <c r="M83" s="466"/>
    </row>
    <row r="84" spans="1:13" ht="37.5" customHeight="1">
      <c r="A84" s="1077"/>
      <c r="B84" s="1085"/>
      <c r="C84" s="435" t="s">
        <v>899</v>
      </c>
      <c r="D84" s="437" t="s">
        <v>900</v>
      </c>
      <c r="E84" s="437" t="s">
        <v>900</v>
      </c>
      <c r="F84" s="437" t="s">
        <v>900</v>
      </c>
      <c r="G84" s="437" t="s">
        <v>900</v>
      </c>
      <c r="H84" s="437" t="s">
        <v>900</v>
      </c>
      <c r="I84" s="438">
        <v>0.42</v>
      </c>
      <c r="J84" s="466">
        <v>0.5</v>
      </c>
      <c r="M84" s="466">
        <v>10</v>
      </c>
    </row>
    <row r="85" spans="1:13" ht="51.75" customHeight="1">
      <c r="A85" s="1077"/>
      <c r="B85" s="1085"/>
      <c r="C85" s="435" t="s">
        <v>901</v>
      </c>
      <c r="D85" s="437">
        <v>0.05</v>
      </c>
      <c r="E85" s="437">
        <v>0.05</v>
      </c>
      <c r="F85" s="437">
        <v>0.05</v>
      </c>
      <c r="G85" s="437">
        <v>0.05</v>
      </c>
      <c r="H85" s="437">
        <v>0.05</v>
      </c>
      <c r="I85" s="438">
        <v>0.42</v>
      </c>
      <c r="J85" s="466">
        <v>0.5</v>
      </c>
      <c r="M85" s="466">
        <v>0.11</v>
      </c>
    </row>
    <row r="86" spans="1:13" ht="37.5" customHeight="1">
      <c r="A86" s="1077"/>
      <c r="B86" s="1085"/>
      <c r="C86" s="435" t="s">
        <v>902</v>
      </c>
      <c r="D86" s="482" t="s">
        <v>903</v>
      </c>
      <c r="E86" s="482" t="s">
        <v>903</v>
      </c>
      <c r="F86" s="482" t="s">
        <v>903</v>
      </c>
      <c r="G86" s="482" t="s">
        <v>903</v>
      </c>
      <c r="H86" s="482" t="s">
        <v>903</v>
      </c>
      <c r="I86" s="438">
        <v>0.42</v>
      </c>
      <c r="J86" s="466">
        <v>0.5</v>
      </c>
      <c r="M86" s="466">
        <v>12</v>
      </c>
    </row>
    <row r="87" spans="1:13" ht="37.5" customHeight="1">
      <c r="A87" s="1077"/>
      <c r="B87" s="1085"/>
      <c r="C87" s="441" t="s">
        <v>11</v>
      </c>
      <c r="D87" s="441" t="s">
        <v>679</v>
      </c>
      <c r="E87" s="441" t="s">
        <v>680</v>
      </c>
      <c r="F87" s="441" t="s">
        <v>681</v>
      </c>
      <c r="G87" s="441" t="s">
        <v>818</v>
      </c>
      <c r="H87" s="442" t="s">
        <v>819</v>
      </c>
      <c r="I87" s="438"/>
      <c r="J87" s="466"/>
      <c r="M87" s="466"/>
    </row>
    <row r="88" spans="1:13" ht="46.5" customHeight="1">
      <c r="A88" s="1077"/>
      <c r="B88" s="1085"/>
      <c r="C88" s="435" t="s">
        <v>292</v>
      </c>
      <c r="D88" s="443">
        <v>1</v>
      </c>
      <c r="E88" s="443">
        <v>1</v>
      </c>
      <c r="F88" s="443">
        <v>1</v>
      </c>
      <c r="G88" s="443">
        <v>1</v>
      </c>
      <c r="H88" s="444">
        <v>1</v>
      </c>
      <c r="I88" s="438">
        <v>0.2</v>
      </c>
      <c r="J88" s="466">
        <v>0.2</v>
      </c>
      <c r="K88" s="479"/>
      <c r="M88" s="466">
        <v>13</v>
      </c>
    </row>
    <row r="89" spans="1:13" ht="35.25" customHeight="1">
      <c r="A89" s="1077"/>
      <c r="B89" s="1085"/>
      <c r="C89" s="435" t="s">
        <v>297</v>
      </c>
      <c r="D89" s="444">
        <v>1</v>
      </c>
      <c r="E89" s="444">
        <v>1</v>
      </c>
      <c r="F89" s="444">
        <v>1</v>
      </c>
      <c r="G89" s="444">
        <v>1</v>
      </c>
      <c r="H89" s="444">
        <v>1</v>
      </c>
      <c r="I89" s="438">
        <v>0</v>
      </c>
      <c r="J89" s="466">
        <v>0</v>
      </c>
      <c r="M89" s="466">
        <v>14</v>
      </c>
    </row>
    <row r="90" spans="1:13" ht="45.75" customHeight="1">
      <c r="A90" s="1077"/>
      <c r="B90" s="1085"/>
      <c r="C90" s="435" t="s">
        <v>302</v>
      </c>
      <c r="D90" s="444">
        <v>0</v>
      </c>
      <c r="E90" s="444">
        <v>0</v>
      </c>
      <c r="F90" s="444">
        <v>0</v>
      </c>
      <c r="G90" s="444">
        <v>0</v>
      </c>
      <c r="H90" s="444">
        <v>0</v>
      </c>
      <c r="I90" s="438">
        <v>0</v>
      </c>
      <c r="J90" s="466">
        <v>0</v>
      </c>
      <c r="M90" s="466">
        <v>15</v>
      </c>
    </row>
    <row r="91" spans="1:13" ht="50.25" customHeight="1" thickBot="1">
      <c r="A91" s="1078"/>
      <c r="B91" s="1085"/>
      <c r="C91" s="483" t="s">
        <v>311</v>
      </c>
      <c r="D91" s="484">
        <v>0.6</v>
      </c>
      <c r="E91" s="484">
        <v>0.6</v>
      </c>
      <c r="F91" s="484">
        <v>0.6</v>
      </c>
      <c r="G91" s="484">
        <v>0.6</v>
      </c>
      <c r="H91" s="484">
        <v>0.6</v>
      </c>
      <c r="I91" s="438">
        <v>0</v>
      </c>
      <c r="J91" s="466"/>
      <c r="K91" s="479"/>
      <c r="L91" s="466">
        <v>0.16</v>
      </c>
    </row>
    <row r="92" spans="1:13" ht="50.25" customHeight="1">
      <c r="A92" s="485" t="s">
        <v>904</v>
      </c>
      <c r="B92" s="486" t="s">
        <v>817</v>
      </c>
      <c r="C92" s="486" t="s">
        <v>10</v>
      </c>
      <c r="D92" s="486" t="s">
        <v>679</v>
      </c>
      <c r="E92" s="486" t="s">
        <v>680</v>
      </c>
      <c r="F92" s="486" t="s">
        <v>681</v>
      </c>
      <c r="G92" s="486" t="s">
        <v>818</v>
      </c>
      <c r="H92" s="487" t="s">
        <v>819</v>
      </c>
      <c r="I92" s="396"/>
      <c r="J92" s="466"/>
    </row>
    <row r="93" spans="1:13" ht="27.75" customHeight="1">
      <c r="A93" s="1073" t="s">
        <v>905</v>
      </c>
      <c r="B93" s="1075" t="s">
        <v>906</v>
      </c>
      <c r="C93" s="461" t="s">
        <v>318</v>
      </c>
      <c r="D93" s="488">
        <v>1</v>
      </c>
      <c r="E93" s="488">
        <v>1</v>
      </c>
      <c r="F93" s="488">
        <v>1</v>
      </c>
      <c r="G93" s="488">
        <v>1</v>
      </c>
      <c r="H93" s="488">
        <v>1</v>
      </c>
      <c r="I93" s="438">
        <v>0.32</v>
      </c>
      <c r="J93" s="466">
        <v>0.4</v>
      </c>
    </row>
    <row r="94" spans="1:13" ht="30" customHeight="1">
      <c r="A94" s="1073"/>
      <c r="B94" s="1075"/>
      <c r="C94" s="468" t="s">
        <v>11</v>
      </c>
      <c r="D94" s="468" t="s">
        <v>679</v>
      </c>
      <c r="E94" s="468" t="s">
        <v>680</v>
      </c>
      <c r="F94" s="468" t="s">
        <v>681</v>
      </c>
      <c r="G94" s="468" t="s">
        <v>818</v>
      </c>
      <c r="H94" s="469" t="s">
        <v>819</v>
      </c>
      <c r="I94" s="396"/>
      <c r="J94" s="466"/>
    </row>
    <row r="95" spans="1:13" ht="31.5" customHeight="1">
      <c r="A95" s="1073"/>
      <c r="B95" s="1075"/>
      <c r="C95" s="461" t="s">
        <v>907</v>
      </c>
      <c r="D95" s="472">
        <v>1</v>
      </c>
      <c r="E95" s="472">
        <v>1</v>
      </c>
      <c r="F95" s="472">
        <v>1</v>
      </c>
      <c r="G95" s="472">
        <v>1</v>
      </c>
      <c r="H95" s="488">
        <v>1</v>
      </c>
      <c r="I95" s="438">
        <v>0.32</v>
      </c>
      <c r="J95" s="466">
        <v>0.4</v>
      </c>
    </row>
    <row r="96" spans="1:13" ht="33" customHeight="1">
      <c r="A96" s="1073"/>
      <c r="B96" s="1075" t="s">
        <v>908</v>
      </c>
      <c r="C96" s="468" t="s">
        <v>10</v>
      </c>
      <c r="D96" s="468" t="s">
        <v>679</v>
      </c>
      <c r="E96" s="468" t="s">
        <v>680</v>
      </c>
      <c r="F96" s="468" t="s">
        <v>681</v>
      </c>
      <c r="G96" s="468" t="s">
        <v>818</v>
      </c>
      <c r="H96" s="469" t="s">
        <v>819</v>
      </c>
      <c r="I96" s="396"/>
      <c r="J96" s="466"/>
    </row>
    <row r="97" spans="1:10" ht="25.5" customHeight="1">
      <c r="A97" s="1073"/>
      <c r="B97" s="1075"/>
      <c r="C97" s="461" t="s">
        <v>326</v>
      </c>
      <c r="D97" s="465" t="s">
        <v>909</v>
      </c>
      <c r="E97" s="465" t="s">
        <v>909</v>
      </c>
      <c r="F97" s="465" t="s">
        <v>909</v>
      </c>
      <c r="G97" s="465" t="s">
        <v>909</v>
      </c>
      <c r="H97" s="465" t="s">
        <v>909</v>
      </c>
      <c r="I97" s="438">
        <v>0.38</v>
      </c>
      <c r="J97" s="466">
        <v>0.46</v>
      </c>
    </row>
    <row r="98" spans="1:10" ht="31.5" customHeight="1">
      <c r="A98" s="1073"/>
      <c r="B98" s="1075"/>
      <c r="C98" s="468" t="s">
        <v>11</v>
      </c>
      <c r="D98" s="468" t="s">
        <v>679</v>
      </c>
      <c r="E98" s="468" t="s">
        <v>680</v>
      </c>
      <c r="F98" s="468" t="s">
        <v>681</v>
      </c>
      <c r="G98" s="468" t="s">
        <v>818</v>
      </c>
      <c r="H98" s="469" t="s">
        <v>819</v>
      </c>
      <c r="I98" s="396"/>
      <c r="J98" s="466"/>
    </row>
    <row r="99" spans="1:10" ht="34.5" customHeight="1">
      <c r="A99" s="1073"/>
      <c r="B99" s="1075"/>
      <c r="C99" s="461" t="s">
        <v>328</v>
      </c>
      <c r="D99" s="467">
        <v>0</v>
      </c>
      <c r="E99" s="467">
        <v>0</v>
      </c>
      <c r="F99" s="467">
        <v>0</v>
      </c>
      <c r="G99" s="467">
        <v>0</v>
      </c>
      <c r="H99" s="467">
        <v>0</v>
      </c>
      <c r="I99" s="438">
        <v>0</v>
      </c>
      <c r="J99" s="466">
        <v>0</v>
      </c>
    </row>
    <row r="100" spans="1:10" ht="24.75" customHeight="1">
      <c r="A100" s="1073"/>
      <c r="B100" s="1075"/>
      <c r="C100" s="461" t="s">
        <v>335</v>
      </c>
      <c r="D100" s="470">
        <f>$H$100/4</f>
        <v>2.5000000000000001E-2</v>
      </c>
      <c r="E100" s="470">
        <f t="shared" ref="E100:G100" si="18">$H$100/4</f>
        <v>2.5000000000000001E-2</v>
      </c>
      <c r="F100" s="470">
        <f t="shared" si="18"/>
        <v>2.5000000000000001E-2</v>
      </c>
      <c r="G100" s="470">
        <f t="shared" si="18"/>
        <v>2.5000000000000001E-2</v>
      </c>
      <c r="H100" s="463">
        <v>0.1</v>
      </c>
      <c r="I100" s="438">
        <v>0</v>
      </c>
      <c r="J100" s="466">
        <v>0.08</v>
      </c>
    </row>
    <row r="101" spans="1:10" ht="37.5" customHeight="1">
      <c r="A101" s="1073"/>
      <c r="B101" s="1075"/>
      <c r="C101" s="461" t="s">
        <v>338</v>
      </c>
      <c r="D101" s="472">
        <f>$H$101/4</f>
        <v>1</v>
      </c>
      <c r="E101" s="472">
        <f t="shared" ref="E101:G101" si="19">$H$101/4</f>
        <v>1</v>
      </c>
      <c r="F101" s="472">
        <f t="shared" si="19"/>
        <v>1</v>
      </c>
      <c r="G101" s="472">
        <f t="shared" si="19"/>
        <v>1</v>
      </c>
      <c r="H101" s="467">
        <v>4</v>
      </c>
      <c r="I101" s="438">
        <v>0</v>
      </c>
      <c r="J101" s="466">
        <v>0.08</v>
      </c>
    </row>
    <row r="102" spans="1:10" ht="34.5" customHeight="1">
      <c r="A102" s="1073"/>
      <c r="B102" s="1075" t="s">
        <v>910</v>
      </c>
      <c r="C102" s="468" t="s">
        <v>10</v>
      </c>
      <c r="D102" s="468" t="s">
        <v>679</v>
      </c>
      <c r="E102" s="468" t="s">
        <v>680</v>
      </c>
      <c r="F102" s="468" t="s">
        <v>681</v>
      </c>
      <c r="G102" s="468" t="s">
        <v>818</v>
      </c>
      <c r="H102" s="469" t="s">
        <v>819</v>
      </c>
      <c r="I102" s="396"/>
      <c r="J102" s="466"/>
    </row>
    <row r="103" spans="1:10" ht="39.75" customHeight="1">
      <c r="A103" s="1073"/>
      <c r="B103" s="1075"/>
      <c r="C103" s="461" t="s">
        <v>347</v>
      </c>
      <c r="D103" s="463" t="s">
        <v>911</v>
      </c>
      <c r="E103" s="463" t="s">
        <v>911</v>
      </c>
      <c r="F103" s="463" t="s">
        <v>911</v>
      </c>
      <c r="G103" s="463" t="s">
        <v>911</v>
      </c>
      <c r="H103" s="463" t="s">
        <v>911</v>
      </c>
      <c r="I103" s="438">
        <v>0</v>
      </c>
      <c r="J103" s="466">
        <v>0</v>
      </c>
    </row>
    <row r="104" spans="1:10" ht="37.5" customHeight="1">
      <c r="A104" s="1073"/>
      <c r="B104" s="1075"/>
      <c r="C104" s="461" t="s">
        <v>356</v>
      </c>
      <c r="D104" s="463" t="s">
        <v>912</v>
      </c>
      <c r="E104" s="463" t="s">
        <v>912</v>
      </c>
      <c r="F104" s="463" t="s">
        <v>912</v>
      </c>
      <c r="G104" s="463" t="s">
        <v>912</v>
      </c>
      <c r="H104" s="463" t="s">
        <v>912</v>
      </c>
      <c r="I104" s="438">
        <v>1</v>
      </c>
      <c r="J104" s="466">
        <v>1</v>
      </c>
    </row>
    <row r="105" spans="1:10" ht="35.25" customHeight="1">
      <c r="A105" s="1073"/>
      <c r="B105" s="1075"/>
      <c r="C105" s="468" t="s">
        <v>11</v>
      </c>
      <c r="D105" s="468" t="s">
        <v>679</v>
      </c>
      <c r="E105" s="468" t="s">
        <v>680</v>
      </c>
      <c r="F105" s="468" t="s">
        <v>681</v>
      </c>
      <c r="G105" s="468" t="s">
        <v>818</v>
      </c>
      <c r="H105" s="469" t="s">
        <v>819</v>
      </c>
      <c r="I105" s="396"/>
      <c r="J105" s="466"/>
    </row>
    <row r="106" spans="1:10" ht="37.5" customHeight="1">
      <c r="A106" s="1073"/>
      <c r="B106" s="1075"/>
      <c r="C106" s="461" t="s">
        <v>349</v>
      </c>
      <c r="D106" s="467">
        <v>0</v>
      </c>
      <c r="E106" s="467">
        <v>0</v>
      </c>
      <c r="F106" s="467">
        <v>0</v>
      </c>
      <c r="G106" s="467">
        <v>0</v>
      </c>
      <c r="H106" s="467">
        <v>0</v>
      </c>
      <c r="I106" s="438">
        <v>0.32</v>
      </c>
      <c r="J106" s="466">
        <v>0.42</v>
      </c>
    </row>
    <row r="107" spans="1:10" ht="26.25" customHeight="1">
      <c r="A107" s="1073"/>
      <c r="B107" s="1075"/>
      <c r="C107" s="461" t="s">
        <v>354</v>
      </c>
      <c r="D107" s="462">
        <f>$H$107/4</f>
        <v>0.05</v>
      </c>
      <c r="E107" s="462">
        <f t="shared" ref="E107:G107" si="20">$H$107/4</f>
        <v>0.05</v>
      </c>
      <c r="F107" s="462">
        <f t="shared" si="20"/>
        <v>0.05</v>
      </c>
      <c r="G107" s="462">
        <f t="shared" si="20"/>
        <v>0.05</v>
      </c>
      <c r="H107" s="463">
        <v>0.2</v>
      </c>
      <c r="I107" s="438">
        <v>16.8</v>
      </c>
      <c r="J107" s="489">
        <v>14.42</v>
      </c>
    </row>
    <row r="108" spans="1:10" ht="37.5" customHeight="1">
      <c r="A108" s="1073"/>
      <c r="B108" s="1075"/>
      <c r="C108" s="461" t="s">
        <v>357</v>
      </c>
      <c r="D108" s="463">
        <v>0.95</v>
      </c>
      <c r="E108" s="463">
        <v>0.95</v>
      </c>
      <c r="F108" s="463">
        <v>0.95</v>
      </c>
      <c r="G108" s="463">
        <v>0.95</v>
      </c>
      <c r="H108" s="463">
        <v>0.95</v>
      </c>
      <c r="I108" s="438">
        <v>0.57999999999999996</v>
      </c>
      <c r="J108" s="466">
        <v>0.66</v>
      </c>
    </row>
    <row r="109" spans="1:10" ht="24" customHeight="1">
      <c r="A109" s="1073"/>
      <c r="B109" s="1075"/>
      <c r="C109" s="461" t="s">
        <v>360</v>
      </c>
      <c r="D109" s="463" t="s">
        <v>913</v>
      </c>
      <c r="E109" s="463" t="s">
        <v>913</v>
      </c>
      <c r="F109" s="463" t="s">
        <v>913</v>
      </c>
      <c r="G109" s="463" t="s">
        <v>913</v>
      </c>
      <c r="H109" s="463" t="s">
        <v>913</v>
      </c>
      <c r="I109" s="438">
        <v>0.41</v>
      </c>
      <c r="J109" s="466">
        <v>0.5</v>
      </c>
    </row>
    <row r="110" spans="1:10" ht="48.75" customHeight="1">
      <c r="A110" s="1073"/>
      <c r="B110" s="1075"/>
      <c r="C110" s="461" t="s">
        <v>914</v>
      </c>
      <c r="D110" s="463">
        <v>0.95</v>
      </c>
      <c r="E110" s="463">
        <v>0.95</v>
      </c>
      <c r="F110" s="463">
        <v>0.95</v>
      </c>
      <c r="G110" s="463">
        <v>0.95</v>
      </c>
      <c r="H110" s="463">
        <v>0.95</v>
      </c>
      <c r="I110" s="438">
        <v>0.57999999999999996</v>
      </c>
      <c r="J110" s="466">
        <v>0.66</v>
      </c>
    </row>
    <row r="111" spans="1:10" ht="36" customHeight="1">
      <c r="A111" s="1073"/>
      <c r="B111" s="1075" t="s">
        <v>915</v>
      </c>
      <c r="C111" s="468" t="s">
        <v>10</v>
      </c>
      <c r="D111" s="468" t="s">
        <v>679</v>
      </c>
      <c r="E111" s="468" t="s">
        <v>680</v>
      </c>
      <c r="F111" s="468" t="s">
        <v>681</v>
      </c>
      <c r="G111" s="468" t="s">
        <v>818</v>
      </c>
      <c r="H111" s="469" t="s">
        <v>819</v>
      </c>
      <c r="I111" s="396"/>
      <c r="J111" s="466"/>
    </row>
    <row r="112" spans="1:10" ht="48.75" customHeight="1">
      <c r="A112" s="1073"/>
      <c r="B112" s="1075"/>
      <c r="C112" s="461" t="s">
        <v>916</v>
      </c>
      <c r="D112" s="463" t="s">
        <v>911</v>
      </c>
      <c r="E112" s="463" t="s">
        <v>911</v>
      </c>
      <c r="F112" s="463" t="s">
        <v>911</v>
      </c>
      <c r="G112" s="463" t="s">
        <v>911</v>
      </c>
      <c r="H112" s="463" t="s">
        <v>911</v>
      </c>
      <c r="I112" s="438">
        <v>0</v>
      </c>
      <c r="J112" s="466">
        <v>0.95</v>
      </c>
    </row>
    <row r="113" spans="1:10" ht="45" customHeight="1">
      <c r="A113" s="1073"/>
      <c r="B113" s="1075"/>
      <c r="C113" s="461" t="s">
        <v>917</v>
      </c>
      <c r="D113" s="463" t="s">
        <v>918</v>
      </c>
      <c r="E113" s="463" t="s">
        <v>918</v>
      </c>
      <c r="F113" s="463" t="s">
        <v>918</v>
      </c>
      <c r="G113" s="463" t="s">
        <v>918</v>
      </c>
      <c r="H113" s="463" t="s">
        <v>918</v>
      </c>
      <c r="I113" s="438">
        <v>0</v>
      </c>
      <c r="J113" s="466">
        <v>0</v>
      </c>
    </row>
    <row r="114" spans="1:10" ht="37.5" customHeight="1">
      <c r="A114" s="1073"/>
      <c r="B114" s="1075"/>
      <c r="C114" s="468" t="s">
        <v>11</v>
      </c>
      <c r="D114" s="468" t="s">
        <v>679</v>
      </c>
      <c r="E114" s="468" t="s">
        <v>680</v>
      </c>
      <c r="F114" s="468" t="s">
        <v>681</v>
      </c>
      <c r="G114" s="468" t="s">
        <v>818</v>
      </c>
      <c r="H114" s="469" t="s">
        <v>819</v>
      </c>
      <c r="I114" s="396"/>
      <c r="J114" s="466"/>
    </row>
    <row r="115" spans="1:10" ht="34.5" customHeight="1">
      <c r="A115" s="1073"/>
      <c r="B115" s="1075"/>
      <c r="C115" s="461" t="s">
        <v>369</v>
      </c>
      <c r="D115" s="472">
        <v>1</v>
      </c>
      <c r="E115" s="472">
        <v>1</v>
      </c>
      <c r="F115" s="472">
        <v>1</v>
      </c>
      <c r="G115" s="472">
        <v>1</v>
      </c>
      <c r="H115" s="467">
        <v>1</v>
      </c>
      <c r="I115" s="438">
        <v>0</v>
      </c>
      <c r="J115" s="466">
        <v>0.25</v>
      </c>
    </row>
    <row r="116" spans="1:10" ht="33.75" customHeight="1">
      <c r="A116" s="1073"/>
      <c r="B116" s="1075"/>
      <c r="C116" s="461" t="s">
        <v>919</v>
      </c>
      <c r="D116" s="467">
        <v>1</v>
      </c>
      <c r="E116" s="467">
        <v>1</v>
      </c>
      <c r="F116" s="467">
        <v>1</v>
      </c>
      <c r="G116" s="467">
        <v>1</v>
      </c>
      <c r="H116" s="467">
        <v>1</v>
      </c>
      <c r="I116" s="438">
        <v>0</v>
      </c>
      <c r="J116" s="466">
        <v>0</v>
      </c>
    </row>
    <row r="117" spans="1:10" ht="37.5" customHeight="1">
      <c r="A117" s="1073"/>
      <c r="B117" s="1075"/>
      <c r="C117" s="461" t="s">
        <v>920</v>
      </c>
      <c r="D117" s="467">
        <v>1</v>
      </c>
      <c r="E117" s="467">
        <v>1</v>
      </c>
      <c r="F117" s="467">
        <v>1</v>
      </c>
      <c r="G117" s="467">
        <v>1</v>
      </c>
      <c r="H117" s="467">
        <v>1</v>
      </c>
      <c r="I117" s="438">
        <v>0</v>
      </c>
      <c r="J117" s="466">
        <v>0</v>
      </c>
    </row>
    <row r="118" spans="1:10" ht="36" customHeight="1">
      <c r="A118" s="1073"/>
      <c r="B118" s="1075"/>
      <c r="C118" s="461" t="s">
        <v>374</v>
      </c>
      <c r="D118" s="462">
        <f>$H$118/4</f>
        <v>0.25</v>
      </c>
      <c r="E118" s="462">
        <f t="shared" ref="E118:G118" si="21">$H$118/4</f>
        <v>0.25</v>
      </c>
      <c r="F118" s="462">
        <f t="shared" si="21"/>
        <v>0.25</v>
      </c>
      <c r="G118" s="462">
        <f t="shared" si="21"/>
        <v>0.25</v>
      </c>
      <c r="H118" s="463">
        <v>1</v>
      </c>
      <c r="I118" s="438">
        <v>0.41</v>
      </c>
      <c r="J118" s="466">
        <v>0.5</v>
      </c>
    </row>
    <row r="119" spans="1:10" ht="30" customHeight="1">
      <c r="A119" s="1073"/>
      <c r="B119" s="1075"/>
      <c r="C119" s="461" t="s">
        <v>921</v>
      </c>
      <c r="D119" s="465">
        <f>$H$119/4</f>
        <v>0.17499999999999999</v>
      </c>
      <c r="E119" s="465">
        <f t="shared" ref="E119:G119" si="22">$H$119/4</f>
        <v>0.17499999999999999</v>
      </c>
      <c r="F119" s="465">
        <f t="shared" si="22"/>
        <v>0.17499999999999999</v>
      </c>
      <c r="G119" s="465">
        <f t="shared" si="22"/>
        <v>0.17499999999999999</v>
      </c>
      <c r="H119" s="463">
        <v>0.7</v>
      </c>
      <c r="I119" s="438">
        <v>0</v>
      </c>
      <c r="J119" s="466">
        <v>0.25</v>
      </c>
    </row>
    <row r="120" spans="1:10" ht="24" customHeight="1" thickBot="1">
      <c r="A120" s="1079"/>
      <c r="B120" s="1080"/>
      <c r="C120" s="475" t="s">
        <v>922</v>
      </c>
      <c r="D120" s="476">
        <f>$H$120/4</f>
        <v>0.25</v>
      </c>
      <c r="E120" s="476">
        <f t="shared" ref="E120:G120" si="23">$H$120/4</f>
        <v>0.25</v>
      </c>
      <c r="F120" s="476">
        <f t="shared" si="23"/>
        <v>0.25</v>
      </c>
      <c r="G120" s="476">
        <f t="shared" si="23"/>
        <v>0.25</v>
      </c>
      <c r="H120" s="476">
        <v>1</v>
      </c>
      <c r="I120" s="438">
        <v>0.41</v>
      </c>
      <c r="J120" s="466">
        <v>0.5</v>
      </c>
    </row>
    <row r="121" spans="1:10" ht="30.75" customHeight="1">
      <c r="A121" s="430" t="s">
        <v>923</v>
      </c>
      <c r="B121" s="431" t="s">
        <v>817</v>
      </c>
      <c r="C121" s="431" t="s">
        <v>10</v>
      </c>
      <c r="D121" s="431" t="s">
        <v>679</v>
      </c>
      <c r="E121" s="431" t="s">
        <v>680</v>
      </c>
      <c r="F121" s="431" t="s">
        <v>681</v>
      </c>
      <c r="G121" s="431" t="s">
        <v>818</v>
      </c>
      <c r="H121" s="432" t="s">
        <v>819</v>
      </c>
      <c r="I121" s="396"/>
      <c r="J121" s="466"/>
    </row>
    <row r="122" spans="1:10" ht="52.5" customHeight="1">
      <c r="A122" s="1077" t="s">
        <v>924</v>
      </c>
      <c r="B122" s="1081" t="s">
        <v>925</v>
      </c>
      <c r="C122" s="435" t="s">
        <v>383</v>
      </c>
      <c r="D122" s="481" t="s">
        <v>911</v>
      </c>
      <c r="E122" s="481" t="s">
        <v>911</v>
      </c>
      <c r="F122" s="481" t="s">
        <v>911</v>
      </c>
      <c r="G122" s="481" t="s">
        <v>911</v>
      </c>
      <c r="H122" s="481" t="s">
        <v>911</v>
      </c>
      <c r="I122" s="438">
        <v>0.08</v>
      </c>
      <c r="J122" s="466">
        <v>0.08</v>
      </c>
    </row>
    <row r="123" spans="1:10" ht="54" customHeight="1">
      <c r="A123" s="1077"/>
      <c r="B123" s="1081"/>
      <c r="C123" s="435" t="s">
        <v>926</v>
      </c>
      <c r="D123" s="481" t="s">
        <v>927</v>
      </c>
      <c r="E123" s="481" t="s">
        <v>927</v>
      </c>
      <c r="F123" s="481" t="s">
        <v>927</v>
      </c>
      <c r="G123" s="481" t="s">
        <v>927</v>
      </c>
      <c r="H123" s="481" t="s">
        <v>927</v>
      </c>
      <c r="I123" s="438">
        <v>0</v>
      </c>
      <c r="J123" s="466">
        <v>0</v>
      </c>
    </row>
    <row r="124" spans="1:10" ht="36" customHeight="1">
      <c r="A124" s="1077"/>
      <c r="B124" s="1081"/>
      <c r="C124" s="441" t="s">
        <v>11</v>
      </c>
      <c r="D124" s="441" t="s">
        <v>679</v>
      </c>
      <c r="E124" s="441" t="s">
        <v>680</v>
      </c>
      <c r="F124" s="441" t="s">
        <v>681</v>
      </c>
      <c r="G124" s="441" t="s">
        <v>818</v>
      </c>
      <c r="H124" s="442" t="s">
        <v>819</v>
      </c>
      <c r="I124" s="396"/>
      <c r="J124" s="466"/>
    </row>
    <row r="125" spans="1:10" ht="64.5" customHeight="1">
      <c r="A125" s="1077"/>
      <c r="B125" s="1081"/>
      <c r="C125" s="435" t="s">
        <v>384</v>
      </c>
      <c r="D125" s="443">
        <v>1</v>
      </c>
      <c r="E125" s="443">
        <v>1</v>
      </c>
      <c r="F125" s="443">
        <v>1</v>
      </c>
      <c r="G125" s="443">
        <v>1</v>
      </c>
      <c r="H125" s="450">
        <v>1</v>
      </c>
      <c r="I125" s="438">
        <v>0</v>
      </c>
      <c r="J125" s="466">
        <v>0</v>
      </c>
    </row>
    <row r="126" spans="1:10" ht="48.75" customHeight="1">
      <c r="A126" s="1077"/>
      <c r="B126" s="1081"/>
      <c r="C126" s="435" t="s">
        <v>928</v>
      </c>
      <c r="D126" s="443">
        <v>1</v>
      </c>
      <c r="E126" s="443">
        <v>1</v>
      </c>
      <c r="F126" s="443">
        <v>1</v>
      </c>
      <c r="G126" s="443">
        <v>1</v>
      </c>
      <c r="H126" s="450">
        <v>1</v>
      </c>
      <c r="I126" s="438">
        <v>0</v>
      </c>
      <c r="J126" s="466">
        <v>0</v>
      </c>
    </row>
    <row r="127" spans="1:10" ht="46.5" customHeight="1">
      <c r="A127" s="1077"/>
      <c r="B127" s="1081"/>
      <c r="C127" s="435" t="s">
        <v>929</v>
      </c>
      <c r="D127" s="481">
        <f>$H$127/4</f>
        <v>7.4999999999999997E-2</v>
      </c>
      <c r="E127" s="481">
        <f t="shared" ref="E127:G127" si="24">$H$127/4</f>
        <v>7.4999999999999997E-2</v>
      </c>
      <c r="F127" s="481">
        <f t="shared" si="24"/>
        <v>7.4999999999999997E-2</v>
      </c>
      <c r="G127" s="481">
        <f t="shared" si="24"/>
        <v>7.4999999999999997E-2</v>
      </c>
      <c r="H127" s="437">
        <v>0.3</v>
      </c>
      <c r="I127" s="438">
        <v>0</v>
      </c>
      <c r="J127" s="466">
        <v>0</v>
      </c>
    </row>
    <row r="128" spans="1:10" ht="38.25" customHeight="1">
      <c r="A128" s="1077"/>
      <c r="B128" s="1081"/>
      <c r="C128" s="435" t="s">
        <v>930</v>
      </c>
      <c r="D128" s="443">
        <v>1</v>
      </c>
      <c r="E128" s="443">
        <v>1</v>
      </c>
      <c r="F128" s="443">
        <v>1</v>
      </c>
      <c r="G128" s="443">
        <v>1</v>
      </c>
      <c r="H128" s="450">
        <v>1</v>
      </c>
      <c r="I128" s="438">
        <v>0.42</v>
      </c>
      <c r="J128" s="466">
        <v>0.5</v>
      </c>
    </row>
    <row r="129" spans="1:10" ht="39" customHeight="1">
      <c r="A129" s="1077"/>
      <c r="B129" s="1081"/>
      <c r="C129" s="435" t="s">
        <v>931</v>
      </c>
      <c r="D129" s="443">
        <v>1</v>
      </c>
      <c r="E129" s="443">
        <v>1</v>
      </c>
      <c r="F129" s="443">
        <v>1</v>
      </c>
      <c r="G129" s="443">
        <v>1</v>
      </c>
      <c r="H129" s="450">
        <v>1</v>
      </c>
      <c r="I129" s="438">
        <v>0</v>
      </c>
      <c r="J129" s="466">
        <v>0</v>
      </c>
    </row>
    <row r="130" spans="1:10" ht="63" customHeight="1">
      <c r="A130" s="1077"/>
      <c r="B130" s="1081"/>
      <c r="C130" s="435" t="s">
        <v>932</v>
      </c>
      <c r="D130" s="443">
        <v>1</v>
      </c>
      <c r="E130" s="443">
        <v>1</v>
      </c>
      <c r="F130" s="443">
        <v>1</v>
      </c>
      <c r="G130" s="443">
        <v>1</v>
      </c>
      <c r="H130" s="450">
        <v>1</v>
      </c>
      <c r="I130" s="438">
        <v>0.25</v>
      </c>
      <c r="J130" s="466">
        <v>0.25</v>
      </c>
    </row>
    <row r="131" spans="1:10" ht="32.25" customHeight="1">
      <c r="A131" s="1077"/>
      <c r="B131" s="1082" t="s">
        <v>933</v>
      </c>
      <c r="C131" s="441" t="s">
        <v>10</v>
      </c>
      <c r="D131" s="441" t="s">
        <v>679</v>
      </c>
      <c r="E131" s="441" t="s">
        <v>680</v>
      </c>
      <c r="F131" s="441" t="s">
        <v>681</v>
      </c>
      <c r="G131" s="441" t="s">
        <v>818</v>
      </c>
      <c r="H131" s="442" t="s">
        <v>819</v>
      </c>
      <c r="I131" s="396"/>
      <c r="J131" s="466"/>
    </row>
    <row r="132" spans="1:10" ht="23.25" customHeight="1">
      <c r="A132" s="1077"/>
      <c r="B132" s="1082"/>
      <c r="C132" s="435" t="s">
        <v>934</v>
      </c>
      <c r="D132" s="437">
        <v>0.95</v>
      </c>
      <c r="E132" s="437">
        <v>0.95</v>
      </c>
      <c r="F132" s="437">
        <v>0.95</v>
      </c>
      <c r="G132" s="437">
        <v>0.95</v>
      </c>
      <c r="H132" s="437">
        <v>0.95</v>
      </c>
      <c r="I132" s="438">
        <v>0.39</v>
      </c>
      <c r="J132" s="466">
        <v>0.47</v>
      </c>
    </row>
    <row r="133" spans="1:10" ht="33" customHeight="1">
      <c r="A133" s="1077"/>
      <c r="B133" s="1082"/>
      <c r="C133" s="435" t="s">
        <v>935</v>
      </c>
      <c r="D133" s="437">
        <v>1</v>
      </c>
      <c r="E133" s="437">
        <v>1</v>
      </c>
      <c r="F133" s="437">
        <v>1</v>
      </c>
      <c r="G133" s="437">
        <v>1</v>
      </c>
      <c r="H133" s="437">
        <v>1</v>
      </c>
      <c r="I133" s="438">
        <v>0.27</v>
      </c>
      <c r="J133" s="466">
        <v>0.33</v>
      </c>
    </row>
    <row r="134" spans="1:10" ht="31.5" customHeight="1">
      <c r="A134" s="1077"/>
      <c r="B134" s="1082"/>
      <c r="C134" s="441" t="s">
        <v>11</v>
      </c>
      <c r="D134" s="441" t="s">
        <v>679</v>
      </c>
      <c r="E134" s="441" t="s">
        <v>680</v>
      </c>
      <c r="F134" s="441" t="s">
        <v>681</v>
      </c>
      <c r="G134" s="441" t="s">
        <v>818</v>
      </c>
      <c r="H134" s="442" t="s">
        <v>819</v>
      </c>
      <c r="I134" s="438"/>
      <c r="J134" s="466"/>
    </row>
    <row r="135" spans="1:10" ht="32.25" customHeight="1">
      <c r="A135" s="1077"/>
      <c r="B135" s="1082"/>
      <c r="C135" s="435" t="s">
        <v>936</v>
      </c>
      <c r="D135" s="437">
        <v>0.94</v>
      </c>
      <c r="E135" s="437">
        <v>0.94</v>
      </c>
      <c r="F135" s="437">
        <v>0.94</v>
      </c>
      <c r="G135" s="437">
        <v>0.94</v>
      </c>
      <c r="H135" s="437">
        <v>0.94</v>
      </c>
      <c r="I135" s="438">
        <v>0.42</v>
      </c>
      <c r="J135" s="466">
        <v>0.5</v>
      </c>
    </row>
    <row r="136" spans="1:10" ht="27" customHeight="1" thickBot="1">
      <c r="A136" s="1078"/>
      <c r="B136" s="1083"/>
      <c r="C136" s="483" t="s">
        <v>937</v>
      </c>
      <c r="D136" s="484">
        <v>1</v>
      </c>
      <c r="E136" s="484">
        <v>1</v>
      </c>
      <c r="F136" s="484">
        <v>1</v>
      </c>
      <c r="G136" s="484">
        <v>1</v>
      </c>
      <c r="H136" s="484">
        <v>1</v>
      </c>
      <c r="I136" s="438">
        <v>0.46</v>
      </c>
      <c r="J136" s="466">
        <v>0.6</v>
      </c>
    </row>
    <row r="137" spans="1:10" ht="32.25" customHeight="1">
      <c r="A137" s="485" t="s">
        <v>938</v>
      </c>
      <c r="B137" s="486" t="s">
        <v>817</v>
      </c>
      <c r="C137" s="486" t="s">
        <v>10</v>
      </c>
      <c r="D137" s="486" t="s">
        <v>679</v>
      </c>
      <c r="E137" s="486" t="s">
        <v>680</v>
      </c>
      <c r="F137" s="486" t="s">
        <v>681</v>
      </c>
      <c r="G137" s="486" t="s">
        <v>818</v>
      </c>
      <c r="H137" s="487" t="s">
        <v>819</v>
      </c>
      <c r="I137" s="396"/>
      <c r="J137" s="466"/>
    </row>
    <row r="138" spans="1:10" ht="32.25" customHeight="1">
      <c r="A138" s="1073" t="s">
        <v>939</v>
      </c>
      <c r="B138" s="1075" t="s">
        <v>940</v>
      </c>
      <c r="C138" s="461" t="s">
        <v>426</v>
      </c>
      <c r="D138" s="472">
        <v>1</v>
      </c>
      <c r="E138" s="472">
        <v>2</v>
      </c>
      <c r="F138" s="472">
        <v>2</v>
      </c>
      <c r="G138" s="472">
        <v>1</v>
      </c>
      <c r="H138" s="490">
        <v>6</v>
      </c>
      <c r="I138" s="438">
        <v>0</v>
      </c>
      <c r="J138" s="466">
        <v>0</v>
      </c>
    </row>
    <row r="139" spans="1:10" ht="39" customHeight="1">
      <c r="A139" s="1073"/>
      <c r="B139" s="1075"/>
      <c r="C139" s="461" t="s">
        <v>941</v>
      </c>
      <c r="D139" s="472">
        <v>1</v>
      </c>
      <c r="E139" s="472">
        <v>1</v>
      </c>
      <c r="F139" s="472">
        <v>1</v>
      </c>
      <c r="G139" s="472">
        <v>1</v>
      </c>
      <c r="H139" s="488">
        <v>4</v>
      </c>
      <c r="I139" s="438">
        <v>0</v>
      </c>
      <c r="J139" s="466">
        <v>0</v>
      </c>
    </row>
    <row r="140" spans="1:10" ht="31.5" customHeight="1">
      <c r="A140" s="1073"/>
      <c r="B140" s="1075"/>
      <c r="C140" s="468" t="s">
        <v>11</v>
      </c>
      <c r="D140" s="468" t="s">
        <v>679</v>
      </c>
      <c r="E140" s="468" t="s">
        <v>680</v>
      </c>
      <c r="F140" s="468" t="s">
        <v>681</v>
      </c>
      <c r="G140" s="468" t="s">
        <v>818</v>
      </c>
      <c r="H140" s="469" t="s">
        <v>819</v>
      </c>
      <c r="I140" s="396"/>
      <c r="J140" s="466"/>
    </row>
    <row r="141" spans="1:10" ht="31.5" customHeight="1">
      <c r="A141" s="1073"/>
      <c r="B141" s="1075"/>
      <c r="C141" s="461" t="s">
        <v>942</v>
      </c>
      <c r="D141" s="472">
        <v>1</v>
      </c>
      <c r="E141" s="472">
        <v>1</v>
      </c>
      <c r="F141" s="472">
        <v>1</v>
      </c>
      <c r="G141" s="472">
        <v>1</v>
      </c>
      <c r="H141" s="490">
        <v>4</v>
      </c>
      <c r="I141" s="438">
        <v>0</v>
      </c>
      <c r="J141" s="466">
        <v>0</v>
      </c>
    </row>
    <row r="142" spans="1:10" ht="31.5" customHeight="1">
      <c r="A142" s="1073"/>
      <c r="B142" s="1075" t="s">
        <v>943</v>
      </c>
      <c r="C142" s="468" t="s">
        <v>10</v>
      </c>
      <c r="D142" s="468" t="s">
        <v>679</v>
      </c>
      <c r="E142" s="468" t="s">
        <v>680</v>
      </c>
      <c r="F142" s="468" t="s">
        <v>681</v>
      </c>
      <c r="G142" s="468" t="s">
        <v>818</v>
      </c>
      <c r="H142" s="469" t="s">
        <v>819</v>
      </c>
      <c r="I142" s="396"/>
      <c r="J142" s="466"/>
    </row>
    <row r="143" spans="1:10" ht="31.5" customHeight="1">
      <c r="A143" s="1073"/>
      <c r="B143" s="1075"/>
      <c r="C143" s="461" t="s">
        <v>944</v>
      </c>
      <c r="D143" s="491">
        <f>$H$143/4</f>
        <v>3.7499999999999999E-2</v>
      </c>
      <c r="E143" s="491">
        <f t="shared" ref="E143:G143" si="25">$H$143/4</f>
        <v>3.7499999999999999E-2</v>
      </c>
      <c r="F143" s="491">
        <f t="shared" si="25"/>
        <v>3.7499999999999999E-2</v>
      </c>
      <c r="G143" s="491">
        <f t="shared" si="25"/>
        <v>3.7499999999999999E-2</v>
      </c>
      <c r="H143" s="492">
        <v>0.15</v>
      </c>
      <c r="I143" s="438">
        <v>0</v>
      </c>
      <c r="J143" s="466">
        <v>0</v>
      </c>
    </row>
    <row r="144" spans="1:10" ht="31.5" customHeight="1">
      <c r="A144" s="1073"/>
      <c r="B144" s="1075"/>
      <c r="C144" s="468" t="s">
        <v>11</v>
      </c>
      <c r="D144" s="468" t="s">
        <v>679</v>
      </c>
      <c r="E144" s="468" t="s">
        <v>680</v>
      </c>
      <c r="F144" s="468" t="s">
        <v>681</v>
      </c>
      <c r="G144" s="468" t="s">
        <v>818</v>
      </c>
      <c r="H144" s="469" t="s">
        <v>819</v>
      </c>
      <c r="I144" s="396"/>
      <c r="J144" s="466"/>
    </row>
    <row r="145" spans="1:11" ht="35.25" customHeight="1">
      <c r="A145" s="1073"/>
      <c r="B145" s="1075"/>
      <c r="C145" s="461" t="s">
        <v>440</v>
      </c>
      <c r="D145" s="493">
        <f>$H$145/4</f>
        <v>0.625</v>
      </c>
      <c r="E145" s="493">
        <f t="shared" ref="E145:G145" si="26">$H$145/4</f>
        <v>0.625</v>
      </c>
      <c r="F145" s="493">
        <f t="shared" si="26"/>
        <v>0.625</v>
      </c>
      <c r="G145" s="493">
        <f t="shared" si="26"/>
        <v>0.625</v>
      </c>
      <c r="H145" s="494">
        <v>2.5</v>
      </c>
      <c r="I145" s="438">
        <v>0.35</v>
      </c>
      <c r="J145" s="466">
        <v>0.43</v>
      </c>
    </row>
    <row r="146" spans="1:11" ht="31.5" customHeight="1" thickBot="1">
      <c r="A146" s="1079"/>
      <c r="B146" s="1080"/>
      <c r="C146" s="475" t="s">
        <v>945</v>
      </c>
      <c r="D146" s="495">
        <v>0.85</v>
      </c>
      <c r="E146" s="495">
        <v>0.85</v>
      </c>
      <c r="F146" s="495">
        <v>0.85</v>
      </c>
      <c r="G146" s="495">
        <v>0.85</v>
      </c>
      <c r="H146" s="495">
        <v>0.85</v>
      </c>
      <c r="I146" s="438">
        <v>0</v>
      </c>
      <c r="J146" s="466">
        <v>0</v>
      </c>
      <c r="K146" s="496"/>
    </row>
    <row r="147" spans="1:11" ht="31.5" customHeight="1">
      <c r="A147" s="430" t="s">
        <v>946</v>
      </c>
      <c r="B147" s="431" t="s">
        <v>817</v>
      </c>
      <c r="C147" s="431" t="s">
        <v>10</v>
      </c>
      <c r="D147" s="431" t="s">
        <v>679</v>
      </c>
      <c r="E147" s="431" t="s">
        <v>680</v>
      </c>
      <c r="F147" s="431" t="s">
        <v>681</v>
      </c>
      <c r="G147" s="431" t="s">
        <v>818</v>
      </c>
      <c r="H147" s="432" t="s">
        <v>819</v>
      </c>
      <c r="I147" s="396"/>
      <c r="J147" s="466"/>
    </row>
    <row r="148" spans="1:11" ht="33" customHeight="1">
      <c r="A148" s="1077" t="s">
        <v>947</v>
      </c>
      <c r="B148" s="1071" t="s">
        <v>948</v>
      </c>
      <c r="C148" s="435" t="s">
        <v>449</v>
      </c>
      <c r="D148" s="437">
        <f>$H$148/4</f>
        <v>0.25</v>
      </c>
      <c r="E148" s="437">
        <f t="shared" ref="E148:G148" si="27">$H$148/4</f>
        <v>0.25</v>
      </c>
      <c r="F148" s="437">
        <f t="shared" si="27"/>
        <v>0.25</v>
      </c>
      <c r="G148" s="437">
        <f t="shared" si="27"/>
        <v>0.25</v>
      </c>
      <c r="H148" s="437">
        <v>1</v>
      </c>
      <c r="I148" s="438">
        <v>0</v>
      </c>
      <c r="J148" s="466">
        <v>0.1</v>
      </c>
    </row>
    <row r="149" spans="1:11" ht="33" customHeight="1">
      <c r="A149" s="1077"/>
      <c r="B149" s="1071"/>
      <c r="C149" s="441" t="s">
        <v>11</v>
      </c>
      <c r="D149" s="441" t="s">
        <v>679</v>
      </c>
      <c r="E149" s="441" t="s">
        <v>680</v>
      </c>
      <c r="F149" s="441" t="s">
        <v>681</v>
      </c>
      <c r="G149" s="441" t="s">
        <v>818</v>
      </c>
      <c r="H149" s="442" t="s">
        <v>819</v>
      </c>
      <c r="I149" s="396"/>
      <c r="J149" s="466"/>
    </row>
    <row r="150" spans="1:11" ht="59.25" customHeight="1">
      <c r="A150" s="1077"/>
      <c r="B150" s="1071"/>
      <c r="C150" s="435" t="s">
        <v>949</v>
      </c>
      <c r="D150" s="443">
        <v>1</v>
      </c>
      <c r="E150" s="443">
        <v>1</v>
      </c>
      <c r="F150" s="443">
        <v>1</v>
      </c>
      <c r="G150" s="443">
        <v>1</v>
      </c>
      <c r="H150" s="450">
        <v>1</v>
      </c>
      <c r="I150" s="438">
        <v>0.41</v>
      </c>
      <c r="J150" s="466">
        <v>0.5</v>
      </c>
    </row>
    <row r="151" spans="1:11" ht="36.75" customHeight="1">
      <c r="A151" s="1077"/>
      <c r="B151" s="1071"/>
      <c r="C151" s="435" t="s">
        <v>950</v>
      </c>
      <c r="D151" s="443">
        <v>1</v>
      </c>
      <c r="E151" s="443">
        <v>1</v>
      </c>
      <c r="F151" s="443">
        <v>1</v>
      </c>
      <c r="G151" s="443">
        <v>1</v>
      </c>
      <c r="H151" s="450">
        <v>1</v>
      </c>
      <c r="I151" s="438">
        <v>0.08</v>
      </c>
      <c r="J151" s="466">
        <v>0.16</v>
      </c>
    </row>
    <row r="152" spans="1:11" ht="34.5" customHeight="1" thickBot="1">
      <c r="A152" s="1078"/>
      <c r="B152" s="1072"/>
      <c r="C152" s="483" t="s">
        <v>951</v>
      </c>
      <c r="D152" s="484">
        <f>$H$152/4</f>
        <v>0.25</v>
      </c>
      <c r="E152" s="484">
        <f t="shared" ref="E152:G152" si="28">$H$152/4</f>
        <v>0.25</v>
      </c>
      <c r="F152" s="484">
        <f t="shared" si="28"/>
        <v>0.25</v>
      </c>
      <c r="G152" s="484">
        <f t="shared" si="28"/>
        <v>0.25</v>
      </c>
      <c r="H152" s="484">
        <v>1</v>
      </c>
      <c r="I152" s="438">
        <v>0.4</v>
      </c>
      <c r="J152" s="466">
        <v>0.4</v>
      </c>
    </row>
    <row r="153" spans="1:11" ht="34.5" customHeight="1">
      <c r="A153" s="485" t="s">
        <v>952</v>
      </c>
      <c r="B153" s="486" t="s">
        <v>817</v>
      </c>
      <c r="C153" s="486" t="s">
        <v>10</v>
      </c>
      <c r="D153" s="486" t="s">
        <v>679</v>
      </c>
      <c r="E153" s="486" t="s">
        <v>680</v>
      </c>
      <c r="F153" s="486" t="s">
        <v>681</v>
      </c>
      <c r="G153" s="486" t="s">
        <v>818</v>
      </c>
      <c r="H153" s="487" t="s">
        <v>819</v>
      </c>
      <c r="I153" s="396"/>
      <c r="J153" s="466"/>
    </row>
    <row r="154" spans="1:11" ht="30" customHeight="1">
      <c r="A154" s="1073" t="s">
        <v>953</v>
      </c>
      <c r="B154" s="1075" t="s">
        <v>954</v>
      </c>
      <c r="C154" s="461" t="s">
        <v>955</v>
      </c>
      <c r="D154" s="492">
        <v>0.9</v>
      </c>
      <c r="E154" s="492">
        <v>0.9</v>
      </c>
      <c r="F154" s="492">
        <v>0.9</v>
      </c>
      <c r="G154" s="492">
        <v>0.9</v>
      </c>
      <c r="H154" s="492">
        <v>0.9</v>
      </c>
      <c r="I154" s="438">
        <v>0.68</v>
      </c>
      <c r="J154" s="466">
        <v>0.49</v>
      </c>
    </row>
    <row r="155" spans="1:11" ht="29.25" customHeight="1">
      <c r="A155" s="1073"/>
      <c r="B155" s="1075"/>
      <c r="C155" s="461" t="s">
        <v>956</v>
      </c>
      <c r="D155" s="492">
        <v>0.83</v>
      </c>
      <c r="E155" s="492">
        <v>0.83</v>
      </c>
      <c r="F155" s="492">
        <v>0.83</v>
      </c>
      <c r="G155" s="492">
        <v>0.83</v>
      </c>
      <c r="H155" s="492">
        <v>0.83</v>
      </c>
      <c r="I155" s="438">
        <v>0</v>
      </c>
      <c r="J155" s="466">
        <v>0</v>
      </c>
    </row>
    <row r="156" spans="1:11" ht="31.5" customHeight="1">
      <c r="A156" s="1073"/>
      <c r="B156" s="1075"/>
      <c r="C156" s="468" t="s">
        <v>11</v>
      </c>
      <c r="D156" s="468" t="s">
        <v>679</v>
      </c>
      <c r="E156" s="468" t="s">
        <v>680</v>
      </c>
      <c r="F156" s="468" t="s">
        <v>681</v>
      </c>
      <c r="G156" s="468" t="s">
        <v>818</v>
      </c>
      <c r="H156" s="469" t="s">
        <v>819</v>
      </c>
      <c r="I156" s="396"/>
      <c r="J156" s="466"/>
    </row>
    <row r="157" spans="1:11" ht="29.25" customHeight="1">
      <c r="A157" s="1073"/>
      <c r="B157" s="1075"/>
      <c r="C157" s="461" t="s">
        <v>475</v>
      </c>
      <c r="D157" s="463">
        <v>1</v>
      </c>
      <c r="E157" s="463">
        <v>1</v>
      </c>
      <c r="F157" s="463">
        <v>1</v>
      </c>
      <c r="G157" s="463">
        <v>1</v>
      </c>
      <c r="H157" s="463">
        <v>1</v>
      </c>
      <c r="I157" s="438">
        <v>0.01</v>
      </c>
      <c r="J157" s="466">
        <v>0.55000000000000004</v>
      </c>
    </row>
    <row r="158" spans="1:11" ht="25.5" customHeight="1">
      <c r="A158" s="1073"/>
      <c r="B158" s="1075"/>
      <c r="C158" s="461" t="s">
        <v>482</v>
      </c>
      <c r="D158" s="463">
        <v>1</v>
      </c>
      <c r="E158" s="463">
        <v>1</v>
      </c>
      <c r="F158" s="463">
        <v>1</v>
      </c>
      <c r="G158" s="463">
        <v>1</v>
      </c>
      <c r="H158" s="463">
        <v>1</v>
      </c>
      <c r="I158" s="438">
        <v>0</v>
      </c>
      <c r="J158" s="466">
        <v>0</v>
      </c>
    </row>
    <row r="159" spans="1:11" ht="31.5" customHeight="1">
      <c r="A159" s="1073"/>
      <c r="B159" s="1075" t="s">
        <v>957</v>
      </c>
      <c r="C159" s="468" t="s">
        <v>10</v>
      </c>
      <c r="D159" s="468" t="s">
        <v>679</v>
      </c>
      <c r="E159" s="468" t="s">
        <v>680</v>
      </c>
      <c r="F159" s="468" t="s">
        <v>681</v>
      </c>
      <c r="G159" s="468" t="s">
        <v>818</v>
      </c>
      <c r="H159" s="469" t="s">
        <v>819</v>
      </c>
      <c r="I159" s="396"/>
      <c r="J159" s="466"/>
    </row>
    <row r="160" spans="1:11" ht="48" customHeight="1">
      <c r="A160" s="1073"/>
      <c r="B160" s="1075"/>
      <c r="C160" s="461" t="s">
        <v>491</v>
      </c>
      <c r="D160" s="491">
        <f>$H$160/4</f>
        <v>0.1875</v>
      </c>
      <c r="E160" s="491">
        <f t="shared" ref="E160:G160" si="29">$H$160/4</f>
        <v>0.1875</v>
      </c>
      <c r="F160" s="491">
        <f t="shared" si="29"/>
        <v>0.1875</v>
      </c>
      <c r="G160" s="491">
        <f t="shared" si="29"/>
        <v>0.1875</v>
      </c>
      <c r="H160" s="463">
        <v>0.75</v>
      </c>
      <c r="I160" s="438">
        <v>0.31</v>
      </c>
      <c r="J160" s="466">
        <v>0.48</v>
      </c>
    </row>
    <row r="161" spans="1:10" ht="37.5" customHeight="1">
      <c r="A161" s="1073"/>
      <c r="B161" s="1075"/>
      <c r="C161" s="461" t="s">
        <v>504</v>
      </c>
      <c r="D161" s="491">
        <f>$H$161/4</f>
        <v>0.1875</v>
      </c>
      <c r="E161" s="491">
        <f t="shared" ref="E161:G161" si="30">$H$161/4</f>
        <v>0.1875</v>
      </c>
      <c r="F161" s="491">
        <f t="shared" si="30"/>
        <v>0.1875</v>
      </c>
      <c r="G161" s="491">
        <f t="shared" si="30"/>
        <v>0.1875</v>
      </c>
      <c r="H161" s="463">
        <v>0.75</v>
      </c>
      <c r="I161" s="438">
        <v>0</v>
      </c>
      <c r="J161" s="489">
        <v>1.25</v>
      </c>
    </row>
    <row r="162" spans="1:10" ht="29.25" customHeight="1">
      <c r="A162" s="1073"/>
      <c r="B162" s="1075"/>
      <c r="C162" s="461" t="s">
        <v>958</v>
      </c>
      <c r="D162" s="463">
        <v>0.75</v>
      </c>
      <c r="E162" s="463">
        <v>0.75</v>
      </c>
      <c r="F162" s="463">
        <v>0.75</v>
      </c>
      <c r="G162" s="463">
        <v>0.75</v>
      </c>
      <c r="H162" s="463">
        <v>0.75</v>
      </c>
      <c r="I162" s="438">
        <v>0.43</v>
      </c>
      <c r="J162" s="466">
        <v>0.52</v>
      </c>
    </row>
    <row r="163" spans="1:10" ht="31.5" customHeight="1">
      <c r="A163" s="1073"/>
      <c r="B163" s="1075"/>
      <c r="C163" s="468" t="s">
        <v>11</v>
      </c>
      <c r="D163" s="468" t="s">
        <v>679</v>
      </c>
      <c r="E163" s="468" t="s">
        <v>680</v>
      </c>
      <c r="F163" s="468" t="s">
        <v>681</v>
      </c>
      <c r="G163" s="468" t="s">
        <v>818</v>
      </c>
      <c r="H163" s="469" t="s">
        <v>819</v>
      </c>
      <c r="I163" s="396"/>
      <c r="J163" s="466"/>
    </row>
    <row r="164" spans="1:10" ht="49.5" customHeight="1">
      <c r="A164" s="1073"/>
      <c r="B164" s="1075"/>
      <c r="C164" s="461" t="s">
        <v>493</v>
      </c>
      <c r="D164" s="463">
        <f>$H$164/4</f>
        <v>0.2</v>
      </c>
      <c r="E164" s="463">
        <f t="shared" ref="E164:G164" si="31">$H$164/4</f>
        <v>0.2</v>
      </c>
      <c r="F164" s="463">
        <f t="shared" si="31"/>
        <v>0.2</v>
      </c>
      <c r="G164" s="463">
        <f t="shared" si="31"/>
        <v>0.2</v>
      </c>
      <c r="H164" s="492">
        <v>0.8</v>
      </c>
      <c r="I164" s="438">
        <v>0.34</v>
      </c>
      <c r="J164" s="466">
        <v>0.5</v>
      </c>
    </row>
    <row r="165" spans="1:10" ht="31.5" customHeight="1">
      <c r="A165" s="1073"/>
      <c r="B165" s="1075"/>
      <c r="C165" s="461" t="s">
        <v>498</v>
      </c>
      <c r="D165" s="472">
        <v>1</v>
      </c>
      <c r="E165" s="472">
        <v>1</v>
      </c>
      <c r="F165" s="472">
        <v>1</v>
      </c>
      <c r="G165" s="472">
        <v>1</v>
      </c>
      <c r="H165" s="490">
        <v>1</v>
      </c>
      <c r="I165" s="438">
        <v>0</v>
      </c>
      <c r="J165" s="466">
        <v>0</v>
      </c>
    </row>
    <row r="166" spans="1:10" ht="34.5" customHeight="1">
      <c r="A166" s="1073"/>
      <c r="B166" s="1075"/>
      <c r="C166" s="461" t="s">
        <v>505</v>
      </c>
      <c r="D166" s="491">
        <f>$H$166/4</f>
        <v>0.23749999999999999</v>
      </c>
      <c r="E166" s="491">
        <f t="shared" ref="E166:G166" si="32">$H$166/4</f>
        <v>0.23749999999999999</v>
      </c>
      <c r="F166" s="491">
        <f t="shared" si="32"/>
        <v>0.23749999999999999</v>
      </c>
      <c r="G166" s="491">
        <f t="shared" si="32"/>
        <v>0.23749999999999999</v>
      </c>
      <c r="H166" s="492">
        <v>0.95</v>
      </c>
      <c r="I166" s="438">
        <v>0.01</v>
      </c>
      <c r="J166" s="466">
        <v>0.52</v>
      </c>
    </row>
    <row r="167" spans="1:10" ht="31.5" customHeight="1">
      <c r="A167" s="1073"/>
      <c r="B167" s="1075"/>
      <c r="C167" s="461" t="s">
        <v>512</v>
      </c>
      <c r="D167" s="491">
        <f>$H$167/4</f>
        <v>0.22500000000000001</v>
      </c>
      <c r="E167" s="491">
        <f t="shared" ref="E167:G172" si="33">$H$167/4</f>
        <v>0.22500000000000001</v>
      </c>
      <c r="F167" s="491">
        <f t="shared" si="33"/>
        <v>0.22500000000000001</v>
      </c>
      <c r="G167" s="491">
        <f t="shared" si="33"/>
        <v>0.22500000000000001</v>
      </c>
      <c r="H167" s="492">
        <v>0.9</v>
      </c>
      <c r="I167" s="438">
        <v>0</v>
      </c>
      <c r="J167" s="466">
        <v>0.56000000000000005</v>
      </c>
    </row>
    <row r="168" spans="1:10" ht="27.75" customHeight="1">
      <c r="A168" s="1073"/>
      <c r="B168" s="1075"/>
      <c r="C168" s="461" t="s">
        <v>518</v>
      </c>
      <c r="D168" s="491">
        <f t="shared" ref="D168:D172" si="34">$H$167/4</f>
        <v>0.22500000000000001</v>
      </c>
      <c r="E168" s="491">
        <f t="shared" si="33"/>
        <v>0.22500000000000001</v>
      </c>
      <c r="F168" s="491">
        <f t="shared" si="33"/>
        <v>0.22500000000000001</v>
      </c>
      <c r="G168" s="491">
        <f t="shared" si="33"/>
        <v>0.22500000000000001</v>
      </c>
      <c r="H168" s="492">
        <v>0.9</v>
      </c>
      <c r="I168" s="438">
        <v>0.51</v>
      </c>
      <c r="J168" s="466">
        <v>0.5</v>
      </c>
    </row>
    <row r="169" spans="1:10" ht="31.5" customHeight="1">
      <c r="A169" s="1073"/>
      <c r="B169" s="1075"/>
      <c r="C169" s="461" t="s">
        <v>524</v>
      </c>
      <c r="D169" s="491">
        <f t="shared" si="34"/>
        <v>0.22500000000000001</v>
      </c>
      <c r="E169" s="491">
        <f t="shared" si="33"/>
        <v>0.22500000000000001</v>
      </c>
      <c r="F169" s="491">
        <f t="shared" si="33"/>
        <v>0.22500000000000001</v>
      </c>
      <c r="G169" s="491">
        <f t="shared" si="33"/>
        <v>0.22500000000000001</v>
      </c>
      <c r="H169" s="492">
        <v>0.9</v>
      </c>
      <c r="I169" s="438">
        <v>7.0000000000000007E-2</v>
      </c>
      <c r="J169" s="466">
        <v>0.4</v>
      </c>
    </row>
    <row r="170" spans="1:10" ht="31.5" customHeight="1">
      <c r="A170" s="1073"/>
      <c r="B170" s="1075"/>
      <c r="C170" s="461" t="s">
        <v>959</v>
      </c>
      <c r="D170" s="491">
        <f t="shared" si="34"/>
        <v>0.22500000000000001</v>
      </c>
      <c r="E170" s="491">
        <f t="shared" si="33"/>
        <v>0.22500000000000001</v>
      </c>
      <c r="F170" s="491">
        <f t="shared" si="33"/>
        <v>0.22500000000000001</v>
      </c>
      <c r="G170" s="491">
        <f t="shared" si="33"/>
        <v>0.22500000000000001</v>
      </c>
      <c r="H170" s="492">
        <v>0.9</v>
      </c>
      <c r="I170" s="438">
        <v>0.01</v>
      </c>
      <c r="J170" s="466">
        <v>0.52</v>
      </c>
    </row>
    <row r="171" spans="1:10" ht="31.5" customHeight="1">
      <c r="A171" s="1073"/>
      <c r="B171" s="1075"/>
      <c r="C171" s="461" t="s">
        <v>960</v>
      </c>
      <c r="D171" s="491">
        <f t="shared" si="34"/>
        <v>0.22500000000000001</v>
      </c>
      <c r="E171" s="491">
        <f t="shared" si="33"/>
        <v>0.22500000000000001</v>
      </c>
      <c r="F171" s="491">
        <f t="shared" si="33"/>
        <v>0.22500000000000001</v>
      </c>
      <c r="G171" s="491">
        <f t="shared" si="33"/>
        <v>0.22500000000000001</v>
      </c>
      <c r="H171" s="492">
        <v>0.9</v>
      </c>
      <c r="I171" s="438">
        <v>0.03</v>
      </c>
      <c r="J171" s="466">
        <v>0.53</v>
      </c>
    </row>
    <row r="172" spans="1:10" ht="33.75" customHeight="1">
      <c r="A172" s="1073"/>
      <c r="B172" s="1075"/>
      <c r="C172" s="461" t="s">
        <v>961</v>
      </c>
      <c r="D172" s="491">
        <f t="shared" si="34"/>
        <v>0.22500000000000001</v>
      </c>
      <c r="E172" s="491">
        <f t="shared" si="33"/>
        <v>0.22500000000000001</v>
      </c>
      <c r="F172" s="491">
        <f t="shared" si="33"/>
        <v>0.22500000000000001</v>
      </c>
      <c r="G172" s="491">
        <f t="shared" si="33"/>
        <v>0.22500000000000001</v>
      </c>
      <c r="H172" s="492">
        <v>0.9</v>
      </c>
      <c r="I172" s="438">
        <v>0.04</v>
      </c>
      <c r="J172" s="466">
        <v>0.5</v>
      </c>
    </row>
    <row r="173" spans="1:10" ht="33.75" customHeight="1">
      <c r="A173" s="1073"/>
      <c r="B173" s="1075" t="s">
        <v>962</v>
      </c>
      <c r="C173" s="468" t="s">
        <v>10</v>
      </c>
      <c r="D173" s="468" t="s">
        <v>679</v>
      </c>
      <c r="E173" s="468" t="s">
        <v>680</v>
      </c>
      <c r="F173" s="468" t="s">
        <v>681</v>
      </c>
      <c r="G173" s="468" t="s">
        <v>818</v>
      </c>
      <c r="H173" s="469" t="s">
        <v>819</v>
      </c>
      <c r="I173" s="396"/>
      <c r="J173" s="466"/>
    </row>
    <row r="174" spans="1:10" ht="33.75" customHeight="1">
      <c r="A174" s="1073"/>
      <c r="B174" s="1075"/>
      <c r="C174" s="461" t="s">
        <v>963</v>
      </c>
      <c r="D174" s="472">
        <v>1</v>
      </c>
      <c r="E174" s="472">
        <v>1</v>
      </c>
      <c r="F174" s="472">
        <v>1</v>
      </c>
      <c r="G174" s="472">
        <v>1</v>
      </c>
      <c r="H174" s="488">
        <v>1</v>
      </c>
      <c r="I174" s="438">
        <v>0.04</v>
      </c>
      <c r="J174" s="466">
        <v>0.27</v>
      </c>
    </row>
    <row r="175" spans="1:10" ht="33.75" customHeight="1">
      <c r="A175" s="1073"/>
      <c r="B175" s="1075"/>
      <c r="C175" s="461" t="s">
        <v>964</v>
      </c>
      <c r="D175" s="488" t="s">
        <v>911</v>
      </c>
      <c r="E175" s="488" t="s">
        <v>911</v>
      </c>
      <c r="F175" s="488" t="s">
        <v>911</v>
      </c>
      <c r="G175" s="488" t="s">
        <v>911</v>
      </c>
      <c r="H175" s="488" t="s">
        <v>911</v>
      </c>
      <c r="I175" s="438">
        <v>0.1</v>
      </c>
      <c r="J175" s="466">
        <v>0.45</v>
      </c>
    </row>
    <row r="176" spans="1:10" ht="33.75" customHeight="1">
      <c r="A176" s="1073"/>
      <c r="B176" s="1075"/>
      <c r="C176" s="468" t="s">
        <v>11</v>
      </c>
      <c r="D176" s="468" t="s">
        <v>679</v>
      </c>
      <c r="E176" s="468" t="s">
        <v>680</v>
      </c>
      <c r="F176" s="468" t="s">
        <v>681</v>
      </c>
      <c r="G176" s="468" t="s">
        <v>818</v>
      </c>
      <c r="H176" s="469" t="s">
        <v>819</v>
      </c>
      <c r="I176" s="396"/>
      <c r="J176" s="466"/>
    </row>
    <row r="177" spans="1:12" ht="33.75" customHeight="1">
      <c r="A177" s="1073"/>
      <c r="B177" s="1075"/>
      <c r="C177" s="461" t="s">
        <v>549</v>
      </c>
      <c r="D177" s="465">
        <f>$H$177/4</f>
        <v>0.22500000000000001</v>
      </c>
      <c r="E177" s="465">
        <f t="shared" ref="E177:G177" si="35">$H$177/4</f>
        <v>0.22500000000000001</v>
      </c>
      <c r="F177" s="465">
        <f t="shared" si="35"/>
        <v>0.22500000000000001</v>
      </c>
      <c r="G177" s="465">
        <f t="shared" si="35"/>
        <v>0.22500000000000001</v>
      </c>
      <c r="H177" s="492">
        <v>0.9</v>
      </c>
      <c r="I177" s="438">
        <v>0</v>
      </c>
      <c r="J177" s="466">
        <v>0</v>
      </c>
    </row>
    <row r="178" spans="1:12" ht="33.75" customHeight="1">
      <c r="A178" s="1073"/>
      <c r="B178" s="1075"/>
      <c r="C178" s="461" t="s">
        <v>557</v>
      </c>
      <c r="D178" s="463">
        <f>$H$178/4</f>
        <v>0.05</v>
      </c>
      <c r="E178" s="463">
        <f t="shared" ref="E178:G178" si="36">$H$178/4</f>
        <v>0.05</v>
      </c>
      <c r="F178" s="463">
        <f t="shared" si="36"/>
        <v>0.05</v>
      </c>
      <c r="G178" s="463">
        <f t="shared" si="36"/>
        <v>0.05</v>
      </c>
      <c r="H178" s="492">
        <v>0.2</v>
      </c>
      <c r="I178" s="438">
        <v>0.04</v>
      </c>
      <c r="J178" s="466">
        <v>0.67</v>
      </c>
      <c r="L178">
        <f>67/7</f>
        <v>9.5714285714285712</v>
      </c>
    </row>
    <row r="179" spans="1:12" ht="33.75" customHeight="1" thickBot="1">
      <c r="A179" s="1074"/>
      <c r="B179" s="1076"/>
      <c r="C179" s="497" t="s">
        <v>965</v>
      </c>
      <c r="D179" s="498">
        <v>1</v>
      </c>
      <c r="E179" s="498">
        <v>1</v>
      </c>
      <c r="F179" s="498">
        <v>1</v>
      </c>
      <c r="G179" s="498">
        <v>1</v>
      </c>
      <c r="H179" s="499">
        <v>1</v>
      </c>
      <c r="I179" s="438">
        <v>0</v>
      </c>
      <c r="J179" s="466">
        <v>0</v>
      </c>
      <c r="K179">
        <f>33%*100%/12</f>
        <v>2.75E-2</v>
      </c>
    </row>
    <row r="180" spans="1:12">
      <c r="I180" s="500">
        <f>AVERAGE(I179,I178,I177,I175,I174,I172,I171,I170,I169,I168,I167,I166,I165,I164,I162,I161,I160,I158,I157,I155,I154,I152,I151,I150,I148,I146,I145,I143,I141,I139,I138,I136,I132:I135,I130,I129,I128,I127,I126,I125,I123,I122,I115:I120,I112:I113,I106:I110,I103:I104,I99:I101,I97,I95,I93,I83:I91,I5:I82)</f>
        <v>0.36281376811594229</v>
      </c>
      <c r="J180" s="500">
        <f>AVERAGE(J179,J178,J177,J175,J174,J172,J171,J170,J169,J168,J167,J166,J165,J164,J162,J161,J160,J158,J157,J155,J154,J152,J151,J150,J148,J146,J145,J143,J141,J139,J138,J136,J132:J135,J130,J129,J128,J127,J126,J125,J123,J122,J115:J120,J112:J113,J106:J110,J103:J104,J99:J101,J97,J95,J93,J83:J91,J5:J82)</f>
        <v>0.46465255474452571</v>
      </c>
    </row>
    <row r="181" spans="1:12">
      <c r="J181" s="500">
        <f>AVERAGE(J179,J178,J177,J175,J174,J172,J171,J170,J169,J168,J167,J166,J165,J164,J162,J161,J160,J158,J157,J155,J154,J152,J151,J150,J148,J146,J145,J143,J141,J139,J138,J136,J135,J133,J132,J130,J129,J128,J127,J126,J125,J123,J122,J120,J119,J118,J117,J116,J115,J113,J112,J110,J109,J108,J107,J106,J104,J103,J101,J100,J99,J97,J95,J93,J91,J90,J89,J88,J86,J85,J84,J82,J81,J80,J79,J78,J77,J76,J75,J74,J73,J72,J71,J70,J69,J68,J67,J66,J65,J63,J62,J61,J60,J59,J57,J56,J55,J54,J53,J52,J51,J50,J48,J47,J46,J44,J43,J42,J41,J40,J39,J38,J37,J36,J35,J34,J33,J32,J30,J29,J28,J27,J26,J24,J23,J21,J19,J18,J17,J16,J15,J13,J11,J10,J9,J7,J6,J5)</f>
        <v>0.46465255474452571</v>
      </c>
    </row>
  </sheetData>
  <mergeCells count="29">
    <mergeCell ref="A1:A3"/>
    <mergeCell ref="B1:J3"/>
    <mergeCell ref="A5:A24"/>
    <mergeCell ref="B5:B11"/>
    <mergeCell ref="B12:B19"/>
    <mergeCell ref="B20:B24"/>
    <mergeCell ref="A26:A57"/>
    <mergeCell ref="B26:B44"/>
    <mergeCell ref="B45:B57"/>
    <mergeCell ref="A59:A91"/>
    <mergeCell ref="B59:B82"/>
    <mergeCell ref="B83:B91"/>
    <mergeCell ref="A122:A136"/>
    <mergeCell ref="B122:B130"/>
    <mergeCell ref="B131:B136"/>
    <mergeCell ref="A138:A146"/>
    <mergeCell ref="B138:B141"/>
    <mergeCell ref="B142:B146"/>
    <mergeCell ref="A93:A120"/>
    <mergeCell ref="B93:B95"/>
    <mergeCell ref="B96:B101"/>
    <mergeCell ref="B102:B110"/>
    <mergeCell ref="B111:B120"/>
    <mergeCell ref="B148:B152"/>
    <mergeCell ref="A154:A179"/>
    <mergeCell ref="B154:B158"/>
    <mergeCell ref="B159:B172"/>
    <mergeCell ref="B173:B179"/>
    <mergeCell ref="A148:A15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16E0-A996-4568-A0A5-92284BD4A21E}">
  <dimension ref="A1:F4"/>
  <sheetViews>
    <sheetView workbookViewId="0">
      <selection activeCell="G2" sqref="G2"/>
    </sheetView>
  </sheetViews>
  <sheetFormatPr defaultColWidth="11" defaultRowHeight="15"/>
  <cols>
    <col min="1" max="1" width="23" customWidth="1"/>
    <col min="2" max="2" width="19.75" customWidth="1"/>
    <col min="3" max="3" width="22.125" customWidth="1"/>
    <col min="4" max="4" width="17" customWidth="1"/>
    <col min="5" max="5" width="39.875" customWidth="1"/>
    <col min="6" max="6" width="31" customWidth="1"/>
  </cols>
  <sheetData>
    <row r="1" spans="1:6">
      <c r="A1" s="941" t="s">
        <v>966</v>
      </c>
      <c r="B1" s="941" t="s">
        <v>633</v>
      </c>
      <c r="C1" s="941" t="s">
        <v>634</v>
      </c>
      <c r="D1" s="941" t="s">
        <v>635</v>
      </c>
      <c r="E1" s="941" t="s">
        <v>636</v>
      </c>
      <c r="F1" s="941" t="s">
        <v>637</v>
      </c>
    </row>
    <row r="2" spans="1:6">
      <c r="A2" s="941" t="s">
        <v>966</v>
      </c>
      <c r="B2" s="941"/>
      <c r="C2" s="941"/>
      <c r="D2" s="941"/>
      <c r="E2" s="941"/>
      <c r="F2" s="941"/>
    </row>
    <row r="3" spans="1:6">
      <c r="A3" s="280" t="s">
        <v>967</v>
      </c>
      <c r="B3" s="414">
        <v>9255</v>
      </c>
      <c r="C3" s="414">
        <v>3770</v>
      </c>
      <c r="D3" s="414">
        <v>3991</v>
      </c>
      <c r="E3" s="580">
        <v>0.22573989693800145</v>
      </c>
      <c r="F3" s="580">
        <v>0.8848255803289341</v>
      </c>
    </row>
    <row r="4" spans="1:6">
      <c r="A4" s="280" t="s">
        <v>968</v>
      </c>
      <c r="B4" s="414">
        <v>9255</v>
      </c>
      <c r="C4" s="414">
        <v>3770</v>
      </c>
      <c r="D4" s="414">
        <v>3991</v>
      </c>
      <c r="E4" s="580">
        <v>0.43122636412749865</v>
      </c>
      <c r="F4" s="580">
        <v>1.0586206896551724</v>
      </c>
    </row>
  </sheetData>
  <mergeCells count="6">
    <mergeCell ref="F1:F2"/>
    <mergeCell ref="A1:A2"/>
    <mergeCell ref="B1:B2"/>
    <mergeCell ref="C1:C2"/>
    <mergeCell ref="D1:D2"/>
    <mergeCell ref="E1:E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EC46B-4087-4894-884E-09EC9CC8A8D3}">
  <dimension ref="A1:AX65"/>
  <sheetViews>
    <sheetView zoomScale="60" zoomScaleNormal="60" workbookViewId="0">
      <pane ySplit="6" topLeftCell="A37" activePane="bottomLeft" state="frozen"/>
      <selection pane="bottomLeft" activeCell="A64" sqref="A64"/>
    </sheetView>
  </sheetViews>
  <sheetFormatPr defaultColWidth="11.375" defaultRowHeight="14.25"/>
  <cols>
    <col min="1" max="1" width="30.875" style="3" customWidth="1"/>
    <col min="2" max="2" width="28.375" style="3" customWidth="1"/>
    <col min="3" max="3" width="24" style="3" customWidth="1"/>
    <col min="4" max="4" width="30.375" style="3" customWidth="1"/>
    <col min="5" max="5" width="32" style="3" bestFit="1" customWidth="1"/>
    <col min="6" max="6" width="20.25" style="3" customWidth="1"/>
    <col min="7" max="7" width="37.375" style="3" customWidth="1"/>
    <col min="8" max="8" width="15" style="3" hidden="1" customWidth="1"/>
    <col min="9" max="10" width="12.75" style="2" hidden="1" customWidth="1"/>
    <col min="11" max="11" width="38.375" style="2" hidden="1" customWidth="1"/>
    <col min="12" max="12" width="57.375" style="2" hidden="1" customWidth="1"/>
    <col min="13" max="13" width="38.125" style="5" customWidth="1"/>
    <col min="14" max="15" width="15" style="3" customWidth="1"/>
    <col min="16" max="16" width="16.25" style="3" customWidth="1"/>
    <col min="17" max="17" width="16.75" style="3" customWidth="1"/>
    <col min="18" max="18" width="16.875" style="3" customWidth="1"/>
    <col min="19" max="19" width="18" style="3" customWidth="1"/>
    <col min="20" max="20" width="20.125" style="3" customWidth="1"/>
    <col min="21" max="21" width="21.375" style="3" customWidth="1"/>
    <col min="22" max="22" width="27.75" style="7" customWidth="1"/>
    <col min="23" max="23" width="25.375" style="7" bestFit="1" customWidth="1"/>
    <col min="24" max="33" width="25.375" style="7" customWidth="1"/>
    <col min="34" max="36" width="34.25" style="7" customWidth="1"/>
    <col min="37"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0" s="1" customFormat="1" ht="30.75" customHeight="1" thickTop="1" thickBot="1">
      <c r="A1" s="1094" t="s">
        <v>969</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9"/>
      <c r="AT1" s="1095" t="s">
        <v>1</v>
      </c>
      <c r="AU1" s="1095"/>
      <c r="AV1" s="1095"/>
      <c r="AW1" s="1095"/>
      <c r="AX1" s="1096"/>
    </row>
    <row r="2" spans="1:50" s="1" customFormat="1" ht="27.95" customHeight="1" thickTop="1" thickBot="1">
      <c r="A2" s="836" t="s">
        <v>970</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19"/>
      <c r="AT2" s="206" t="s">
        <v>3</v>
      </c>
      <c r="AU2" s="18" t="s">
        <v>4</v>
      </c>
      <c r="AV2" s="16" t="s">
        <v>5</v>
      </c>
      <c r="AW2" s="16" t="s">
        <v>6</v>
      </c>
      <c r="AX2" s="16" t="s">
        <v>7</v>
      </c>
    </row>
    <row r="3" spans="1:50" s="1" customFormat="1" ht="25.5" customHeight="1" thickTop="1" thickBot="1">
      <c r="A3" s="209"/>
      <c r="B3" s="873" t="s">
        <v>8</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19"/>
      <c r="AT3" s="1280"/>
      <c r="AU3" s="1258"/>
      <c r="AV3" s="1259"/>
      <c r="AW3" s="1260"/>
      <c r="AX3" s="17"/>
    </row>
    <row r="4" spans="1:50" s="1" customFormat="1" ht="27.95" customHeight="1" thickTop="1" thickBot="1">
      <c r="A4" s="837" t="s">
        <v>9</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19"/>
      <c r="AT4" s="1280"/>
      <c r="AU4" s="1258"/>
      <c r="AV4" s="1259"/>
      <c r="AW4" s="1260"/>
      <c r="AX4" s="17"/>
    </row>
    <row r="5" spans="1:50" ht="27.95" customHeight="1" thickTop="1" thickBot="1">
      <c r="A5" s="1106"/>
      <c r="B5" s="1106"/>
      <c r="C5" s="1106" t="s">
        <v>10</v>
      </c>
      <c r="D5" s="1106"/>
      <c r="E5" s="1106"/>
      <c r="F5" s="278"/>
      <c r="G5" s="1106" t="s">
        <v>11</v>
      </c>
      <c r="H5" s="1106"/>
      <c r="I5" s="1106"/>
      <c r="J5" s="1106"/>
      <c r="K5" s="1097" t="s">
        <v>12</v>
      </c>
      <c r="L5" s="1097" t="s">
        <v>13</v>
      </c>
      <c r="M5" s="1098" t="s">
        <v>14</v>
      </c>
      <c r="N5" s="1093" t="s">
        <v>971</v>
      </c>
      <c r="O5" s="1093" t="s">
        <v>15</v>
      </c>
      <c r="P5" s="1093" t="s">
        <v>17</v>
      </c>
      <c r="Q5" s="1093" t="s">
        <v>18</v>
      </c>
      <c r="R5" s="1093" t="s">
        <v>19</v>
      </c>
      <c r="S5" s="1093" t="s">
        <v>20</v>
      </c>
      <c r="T5" s="1105" t="s">
        <v>21</v>
      </c>
      <c r="U5" s="1105"/>
      <c r="V5" s="1105"/>
      <c r="W5" s="1105"/>
      <c r="X5" s="1099" t="s">
        <v>22</v>
      </c>
      <c r="Y5" s="1099"/>
      <c r="Z5" s="1099"/>
      <c r="AA5" s="1099"/>
      <c r="AB5" s="1099"/>
      <c r="AC5" s="1099"/>
      <c r="AD5" s="1099"/>
      <c r="AE5" s="1099"/>
      <c r="AF5" s="1099"/>
      <c r="AG5" s="1099"/>
      <c r="AH5" s="1099"/>
      <c r="AI5" s="1099"/>
      <c r="AJ5" s="1099"/>
      <c r="AK5" s="1099"/>
      <c r="AL5" s="1099"/>
      <c r="AM5" s="1099"/>
      <c r="AN5" s="1099"/>
      <c r="AO5" s="1099"/>
      <c r="AP5" s="1099"/>
      <c r="AQ5" s="1093" t="s">
        <v>23</v>
      </c>
      <c r="AR5" s="1093" t="s">
        <v>24</v>
      </c>
      <c r="AS5" s="133"/>
      <c r="AT5" s="18" t="s">
        <v>25</v>
      </c>
      <c r="AU5" s="15" t="s">
        <v>26</v>
      </c>
      <c r="AV5" s="16" t="s">
        <v>27</v>
      </c>
      <c r="AW5" s="16" t="s">
        <v>28</v>
      </c>
      <c r="AX5" s="16" t="s">
        <v>29</v>
      </c>
    </row>
    <row r="6" spans="1:50" ht="68.25" customHeight="1" thickTop="1">
      <c r="A6" s="233" t="s">
        <v>32</v>
      </c>
      <c r="B6" s="233" t="s">
        <v>33</v>
      </c>
      <c r="C6" s="233" t="s">
        <v>34</v>
      </c>
      <c r="D6" s="233" t="s">
        <v>35</v>
      </c>
      <c r="E6" s="233" t="s">
        <v>972</v>
      </c>
      <c r="F6" s="233" t="s">
        <v>38</v>
      </c>
      <c r="G6" s="234" t="s">
        <v>39</v>
      </c>
      <c r="H6" s="233" t="s">
        <v>35</v>
      </c>
      <c r="I6" s="233" t="s">
        <v>36</v>
      </c>
      <c r="J6" s="233" t="s">
        <v>972</v>
      </c>
      <c r="K6" s="1097"/>
      <c r="L6" s="1097"/>
      <c r="M6" s="1098"/>
      <c r="N6" s="1093"/>
      <c r="O6" s="1093"/>
      <c r="P6" s="1093"/>
      <c r="Q6" s="1093"/>
      <c r="R6" s="1093"/>
      <c r="S6" s="1093"/>
      <c r="T6" s="233" t="s">
        <v>41</v>
      </c>
      <c r="U6" s="233" t="s">
        <v>42</v>
      </c>
      <c r="V6" s="205" t="s">
        <v>43</v>
      </c>
      <c r="W6" s="205" t="s">
        <v>44</v>
      </c>
      <c r="X6" s="208" t="s">
        <v>45</v>
      </c>
      <c r="Y6" s="208" t="s">
        <v>46</v>
      </c>
      <c r="Z6" s="208" t="s">
        <v>47</v>
      </c>
      <c r="AA6" s="208" t="s">
        <v>48</v>
      </c>
      <c r="AB6" s="208" t="s">
        <v>49</v>
      </c>
      <c r="AC6" s="208" t="s">
        <v>50</v>
      </c>
      <c r="AD6" s="208" t="s">
        <v>51</v>
      </c>
      <c r="AE6" s="208" t="s">
        <v>52</v>
      </c>
      <c r="AF6" s="208" t="s">
        <v>53</v>
      </c>
      <c r="AG6" s="208" t="s">
        <v>54</v>
      </c>
      <c r="AH6" s="208" t="s">
        <v>55</v>
      </c>
      <c r="AI6" s="208" t="s">
        <v>56</v>
      </c>
      <c r="AJ6" s="208" t="s">
        <v>58</v>
      </c>
      <c r="AK6" s="208" t="s">
        <v>59</v>
      </c>
      <c r="AL6" s="208" t="s">
        <v>60</v>
      </c>
      <c r="AM6" s="208" t="s">
        <v>61</v>
      </c>
      <c r="AN6" s="208" t="s">
        <v>62</v>
      </c>
      <c r="AO6" s="208" t="s">
        <v>973</v>
      </c>
      <c r="AP6" s="208" t="s">
        <v>63</v>
      </c>
      <c r="AQ6" s="1093"/>
      <c r="AR6" s="1093" t="s">
        <v>24</v>
      </c>
      <c r="AS6" s="133"/>
    </row>
    <row r="7" spans="1:50" s="1" customFormat="1" ht="131.25" customHeight="1">
      <c r="A7" s="1103" t="s">
        <v>65</v>
      </c>
      <c r="B7" s="1104" t="s">
        <v>66</v>
      </c>
      <c r="C7" s="1103" t="s">
        <v>67</v>
      </c>
      <c r="D7" s="1103" t="s">
        <v>68</v>
      </c>
      <c r="E7" s="1103">
        <v>40</v>
      </c>
      <c r="F7" s="1103" t="s">
        <v>70</v>
      </c>
      <c r="G7" s="27" t="s">
        <v>71</v>
      </c>
      <c r="H7" s="27" t="s">
        <v>72</v>
      </c>
      <c r="I7" s="28">
        <v>1</v>
      </c>
      <c r="J7" s="28">
        <v>0</v>
      </c>
      <c r="K7" s="1107"/>
      <c r="L7" s="1107" t="s">
        <v>73</v>
      </c>
      <c r="M7" s="29" t="s">
        <v>974</v>
      </c>
      <c r="N7" s="211">
        <v>1</v>
      </c>
      <c r="O7" s="211" t="s">
        <v>72</v>
      </c>
      <c r="P7" s="211">
        <v>0</v>
      </c>
      <c r="Q7" s="211">
        <v>0</v>
      </c>
      <c r="R7" s="211">
        <v>1</v>
      </c>
      <c r="S7" s="211">
        <v>0</v>
      </c>
      <c r="T7" s="211" t="s">
        <v>975</v>
      </c>
      <c r="U7" s="1103"/>
      <c r="V7" s="1281">
        <f>100800000+230818764+41340218</f>
        <v>372958982</v>
      </c>
      <c r="W7" s="1281">
        <f>V7</f>
        <v>372958982</v>
      </c>
      <c r="X7" s="211"/>
      <c r="Y7" s="1282"/>
      <c r="Z7" s="1282"/>
      <c r="AA7" s="1282"/>
      <c r="AB7" s="1282">
        <v>38984954</v>
      </c>
      <c r="AC7" s="1282">
        <v>38984954</v>
      </c>
      <c r="AD7" s="211">
        <v>0</v>
      </c>
      <c r="AE7" s="1282"/>
      <c r="AF7" s="1282"/>
      <c r="AG7" s="1282"/>
      <c r="AH7" s="1282"/>
      <c r="AI7" s="1282"/>
      <c r="AJ7" s="1282"/>
      <c r="AK7" s="1282"/>
      <c r="AL7" s="1282"/>
      <c r="AM7" s="1282"/>
      <c r="AN7" s="1282"/>
      <c r="AO7" s="1282"/>
      <c r="AP7" s="1282"/>
      <c r="AQ7" s="211" t="s">
        <v>77</v>
      </c>
      <c r="AR7" s="211" t="s">
        <v>77</v>
      </c>
      <c r="AS7" s="1100" t="s">
        <v>78</v>
      </c>
    </row>
    <row r="8" spans="1:50" s="1" customFormat="1" ht="131.25" customHeight="1">
      <c r="A8" s="1103"/>
      <c r="B8" s="1104"/>
      <c r="C8" s="1103"/>
      <c r="D8" s="1103"/>
      <c r="E8" s="1103"/>
      <c r="F8" s="1103"/>
      <c r="G8" s="1103" t="s">
        <v>79</v>
      </c>
      <c r="H8" s="1103" t="s">
        <v>72</v>
      </c>
      <c r="I8" s="1107">
        <v>1</v>
      </c>
      <c r="J8" s="1107">
        <v>0</v>
      </c>
      <c r="K8" s="1107"/>
      <c r="L8" s="1107"/>
      <c r="M8" s="29" t="s">
        <v>976</v>
      </c>
      <c r="N8" s="211">
        <v>1</v>
      </c>
      <c r="O8" s="211" t="s">
        <v>72</v>
      </c>
      <c r="P8" s="211">
        <v>0</v>
      </c>
      <c r="Q8" s="211">
        <v>1</v>
      </c>
      <c r="R8" s="211">
        <v>0</v>
      </c>
      <c r="S8" s="211">
        <v>0</v>
      </c>
      <c r="T8" s="211"/>
      <c r="U8" s="1103"/>
      <c r="V8" s="1281"/>
      <c r="W8" s="1281"/>
      <c r="X8" s="211"/>
      <c r="Y8" s="1282"/>
      <c r="Z8" s="1282"/>
      <c r="AA8" s="1282"/>
      <c r="AB8" s="1282">
        <v>38984953</v>
      </c>
      <c r="AC8" s="1282">
        <v>38984953</v>
      </c>
      <c r="AD8" s="211">
        <v>0</v>
      </c>
      <c r="AE8" s="1282"/>
      <c r="AF8" s="1282"/>
      <c r="AG8" s="1282"/>
      <c r="AH8" s="1282"/>
      <c r="AI8" s="1282"/>
      <c r="AJ8" s="1282"/>
      <c r="AK8" s="1282"/>
      <c r="AL8" s="1282"/>
      <c r="AM8" s="1282"/>
      <c r="AN8" s="1282"/>
      <c r="AO8" s="1282"/>
      <c r="AP8" s="1282"/>
      <c r="AQ8" s="211" t="s">
        <v>77</v>
      </c>
      <c r="AR8" s="211" t="s">
        <v>77</v>
      </c>
      <c r="AS8" s="1101"/>
    </row>
    <row r="9" spans="1:50" s="1" customFormat="1" ht="90.75" customHeight="1">
      <c r="A9" s="1103"/>
      <c r="B9" s="1104"/>
      <c r="C9" s="26" t="s">
        <v>81</v>
      </c>
      <c r="D9" s="211" t="s">
        <v>68</v>
      </c>
      <c r="E9" s="211">
        <v>100</v>
      </c>
      <c r="F9" s="1103"/>
      <c r="G9" s="1103"/>
      <c r="H9" s="1103"/>
      <c r="I9" s="1107"/>
      <c r="J9" s="1107"/>
      <c r="K9" s="1107"/>
      <c r="L9" s="1107"/>
      <c r="M9" s="29" t="s">
        <v>977</v>
      </c>
      <c r="N9" s="211">
        <v>1</v>
      </c>
      <c r="O9" s="211" t="s">
        <v>72</v>
      </c>
      <c r="P9" s="211">
        <v>0</v>
      </c>
      <c r="Q9" s="211">
        <v>0</v>
      </c>
      <c r="R9" s="211">
        <v>1</v>
      </c>
      <c r="S9" s="211">
        <v>0</v>
      </c>
      <c r="T9" s="211" t="s">
        <v>975</v>
      </c>
      <c r="U9" s="211"/>
      <c r="V9" s="1282">
        <v>100800000</v>
      </c>
      <c r="W9" s="1282">
        <f t="shared" ref="W9:W12" si="0">V9</f>
        <v>100800000</v>
      </c>
      <c r="X9" s="211"/>
      <c r="Y9" s="1282"/>
      <c r="Z9" s="1282"/>
      <c r="AA9" s="1282"/>
      <c r="AB9" s="1282">
        <v>24360000</v>
      </c>
      <c r="AC9" s="1282">
        <v>24360000</v>
      </c>
      <c r="AD9" s="211">
        <v>0</v>
      </c>
      <c r="AE9" s="1282"/>
      <c r="AF9" s="1282"/>
      <c r="AG9" s="1282"/>
      <c r="AH9" s="1282"/>
      <c r="AI9" s="1282"/>
      <c r="AJ9" s="1282"/>
      <c r="AK9" s="1282"/>
      <c r="AL9" s="1282"/>
      <c r="AM9" s="1282"/>
      <c r="AN9" s="1282"/>
      <c r="AO9" s="1282"/>
      <c r="AP9" s="1282"/>
      <c r="AQ9" s="211" t="s">
        <v>77</v>
      </c>
      <c r="AR9" s="211" t="s">
        <v>77</v>
      </c>
      <c r="AS9" s="1101"/>
    </row>
    <row r="10" spans="1:50" s="1" customFormat="1" ht="93.75" customHeight="1">
      <c r="A10" s="1103"/>
      <c r="B10" s="1104"/>
      <c r="C10" s="26" t="s">
        <v>83</v>
      </c>
      <c r="D10" s="211" t="s">
        <v>68</v>
      </c>
      <c r="E10" s="211">
        <v>60</v>
      </c>
      <c r="F10" s="1103"/>
      <c r="G10" s="27" t="s">
        <v>84</v>
      </c>
      <c r="H10" s="27" t="s">
        <v>72</v>
      </c>
      <c r="I10" s="28">
        <v>0</v>
      </c>
      <c r="J10" s="28">
        <v>8</v>
      </c>
      <c r="K10" s="1107"/>
      <c r="L10" s="1107"/>
      <c r="M10" s="29" t="s">
        <v>978</v>
      </c>
      <c r="N10" s="211">
        <v>8</v>
      </c>
      <c r="O10" s="211" t="s">
        <v>72</v>
      </c>
      <c r="P10" s="211">
        <v>1</v>
      </c>
      <c r="Q10" s="211">
        <v>3</v>
      </c>
      <c r="R10" s="211">
        <v>2</v>
      </c>
      <c r="S10" s="211">
        <v>2</v>
      </c>
      <c r="T10" s="211" t="s">
        <v>975</v>
      </c>
      <c r="U10" s="211"/>
      <c r="V10" s="1282">
        <v>73184589</v>
      </c>
      <c r="W10" s="1282">
        <f t="shared" si="0"/>
        <v>73184589</v>
      </c>
      <c r="X10" s="211"/>
      <c r="Y10" s="1282"/>
      <c r="Z10" s="1282"/>
      <c r="AA10" s="1282"/>
      <c r="AB10" s="1282">
        <v>18731769</v>
      </c>
      <c r="AC10" s="1282">
        <v>18731769</v>
      </c>
      <c r="AD10" s="211">
        <v>0</v>
      </c>
      <c r="AE10" s="1282"/>
      <c r="AF10" s="1282"/>
      <c r="AG10" s="1282"/>
      <c r="AH10" s="1282"/>
      <c r="AI10" s="1282"/>
      <c r="AJ10" s="1282"/>
      <c r="AK10" s="1282"/>
      <c r="AL10" s="1282"/>
      <c r="AM10" s="1282"/>
      <c r="AN10" s="1282"/>
      <c r="AO10" s="1282"/>
      <c r="AP10" s="1282"/>
      <c r="AQ10" s="211" t="s">
        <v>77</v>
      </c>
      <c r="AR10" s="211" t="s">
        <v>77</v>
      </c>
      <c r="AS10" s="1102"/>
    </row>
    <row r="11" spans="1:50" s="1" customFormat="1" ht="93.75" customHeight="1">
      <c r="A11" s="1110" t="s">
        <v>979</v>
      </c>
      <c r="B11" s="1110"/>
      <c r="C11" s="1110"/>
      <c r="D11" s="1110"/>
      <c r="E11" s="1110"/>
      <c r="F11" s="1110"/>
      <c r="G11" s="1110"/>
      <c r="H11" s="1110"/>
      <c r="I11" s="1110"/>
      <c r="J11" s="1110"/>
      <c r="K11" s="1110"/>
      <c r="L11" s="1110"/>
      <c r="M11" s="1110"/>
      <c r="N11" s="87">
        <f>SUM(N7:N10)</f>
        <v>11</v>
      </c>
      <c r="O11" s="87"/>
      <c r="P11" s="87">
        <f>SUM(P7:P10)</f>
        <v>1</v>
      </c>
      <c r="Q11" s="87">
        <f t="shared" ref="Q11:S11" si="1">SUM(Q7:Q10)</f>
        <v>4</v>
      </c>
      <c r="R11" s="87">
        <f t="shared" si="1"/>
        <v>4</v>
      </c>
      <c r="S11" s="87">
        <f t="shared" si="1"/>
        <v>2</v>
      </c>
      <c r="T11" s="87"/>
      <c r="U11" s="87"/>
      <c r="V11" s="1283">
        <f>V10+V9+V7</f>
        <v>546943571</v>
      </c>
      <c r="W11" s="1283">
        <f>W10+W9+W7</f>
        <v>546943571</v>
      </c>
      <c r="X11" s="87">
        <f>SUM(X7:X10)</f>
        <v>0</v>
      </c>
      <c r="Y11" s="87">
        <f t="shared" ref="Y11:AA11" si="2">SUM(Y7:Y10)</f>
        <v>0</v>
      </c>
      <c r="Z11" s="87">
        <f t="shared" si="2"/>
        <v>0</v>
      </c>
      <c r="AA11" s="87">
        <f t="shared" si="2"/>
        <v>0</v>
      </c>
      <c r="AB11" s="1283">
        <f>SUM(AB7:AB10)</f>
        <v>121061676</v>
      </c>
      <c r="AC11" s="1283">
        <f t="shared" ref="AC11:AE11" si="3">SUM(AC7:AC10)</f>
        <v>121061676</v>
      </c>
      <c r="AD11" s="1283">
        <f t="shared" si="3"/>
        <v>0</v>
      </c>
      <c r="AE11" s="1283">
        <f t="shared" si="3"/>
        <v>0</v>
      </c>
      <c r="AF11" s="1283">
        <f>SUM(AF7:AF10)</f>
        <v>0</v>
      </c>
      <c r="AG11" s="1283">
        <f t="shared" ref="AG11" si="4">SUM(AG7:AG10)</f>
        <v>0</v>
      </c>
      <c r="AH11" s="1283"/>
      <c r="AI11" s="1283"/>
      <c r="AJ11" s="1283"/>
      <c r="AK11" s="1283"/>
      <c r="AL11" s="1283"/>
      <c r="AM11" s="1283"/>
      <c r="AN11" s="1283"/>
      <c r="AO11" s="1283"/>
      <c r="AP11" s="1283"/>
      <c r="AQ11" s="87"/>
      <c r="AR11" s="87"/>
      <c r="AS11" s="210"/>
    </row>
    <row r="12" spans="1:50" s="1" customFormat="1" ht="115.5" customHeight="1">
      <c r="A12" s="1103" t="s">
        <v>718</v>
      </c>
      <c r="B12" s="1103" t="s">
        <v>88</v>
      </c>
      <c r="C12" s="1103" t="s">
        <v>89</v>
      </c>
      <c r="D12" s="1103" t="s">
        <v>133</v>
      </c>
      <c r="E12" s="1103">
        <v>1.47</v>
      </c>
      <c r="F12" s="1103" t="s">
        <v>91</v>
      </c>
      <c r="G12" s="27" t="s">
        <v>829</v>
      </c>
      <c r="H12" s="27" t="s">
        <v>93</v>
      </c>
      <c r="I12" s="28">
        <v>20</v>
      </c>
      <c r="J12" s="28">
        <v>70</v>
      </c>
      <c r="K12" s="1107"/>
      <c r="L12" s="1107" t="s">
        <v>980</v>
      </c>
      <c r="M12" s="35" t="s">
        <v>981</v>
      </c>
      <c r="N12" s="211">
        <v>3</v>
      </c>
      <c r="O12" s="211" t="s">
        <v>72</v>
      </c>
      <c r="P12" s="211">
        <v>0</v>
      </c>
      <c r="Q12" s="211">
        <v>1</v>
      </c>
      <c r="R12" s="211">
        <v>1</v>
      </c>
      <c r="S12" s="211">
        <v>1</v>
      </c>
      <c r="T12" s="211" t="s">
        <v>975</v>
      </c>
      <c r="U12" s="1103"/>
      <c r="V12" s="1281">
        <f>63000000+48000000</f>
        <v>111000000</v>
      </c>
      <c r="W12" s="1281">
        <f t="shared" si="0"/>
        <v>111000000</v>
      </c>
      <c r="X12" s="211"/>
      <c r="Y12" s="1282"/>
      <c r="Z12" s="1282"/>
      <c r="AA12" s="1282"/>
      <c r="AB12" s="1282">
        <v>5443333</v>
      </c>
      <c r="AC12" s="1282">
        <v>5443333</v>
      </c>
      <c r="AD12" s="1282"/>
      <c r="AE12" s="1282"/>
      <c r="AF12" s="1282"/>
      <c r="AG12" s="1282"/>
      <c r="AH12" s="1282"/>
      <c r="AI12" s="1282"/>
      <c r="AJ12" s="1282"/>
      <c r="AK12" s="1282"/>
      <c r="AL12" s="1282"/>
      <c r="AM12" s="1282"/>
      <c r="AN12" s="1282"/>
      <c r="AO12" s="1282"/>
      <c r="AP12" s="1282"/>
      <c r="AQ12" s="211" t="s">
        <v>96</v>
      </c>
      <c r="AR12" s="211" t="s">
        <v>96</v>
      </c>
      <c r="AS12" s="1100" t="s">
        <v>982</v>
      </c>
    </row>
    <row r="13" spans="1:50" s="1" customFormat="1" ht="113.25" customHeight="1">
      <c r="A13" s="1103"/>
      <c r="B13" s="1103"/>
      <c r="C13" s="1103"/>
      <c r="D13" s="1103"/>
      <c r="E13" s="1103"/>
      <c r="F13" s="1103"/>
      <c r="G13" s="27" t="s">
        <v>92</v>
      </c>
      <c r="H13" s="27" t="s">
        <v>93</v>
      </c>
      <c r="I13" s="28">
        <v>20</v>
      </c>
      <c r="J13" s="28">
        <v>100</v>
      </c>
      <c r="K13" s="1107"/>
      <c r="L13" s="1107"/>
      <c r="M13" s="29" t="s">
        <v>983</v>
      </c>
      <c r="N13" s="211">
        <v>1</v>
      </c>
      <c r="O13" s="211" t="s">
        <v>340</v>
      </c>
      <c r="P13" s="211">
        <v>0</v>
      </c>
      <c r="Q13" s="211">
        <v>0</v>
      </c>
      <c r="R13" s="211">
        <v>0</v>
      </c>
      <c r="S13" s="211">
        <v>1</v>
      </c>
      <c r="T13" s="211" t="s">
        <v>975</v>
      </c>
      <c r="U13" s="1103"/>
      <c r="V13" s="1281"/>
      <c r="W13" s="1281"/>
      <c r="X13" s="211"/>
      <c r="Y13" s="1282"/>
      <c r="Z13" s="1282"/>
      <c r="AA13" s="1282"/>
      <c r="AB13" s="1282">
        <v>5443333</v>
      </c>
      <c r="AC13" s="1282">
        <v>5443333</v>
      </c>
      <c r="AD13" s="1282"/>
      <c r="AE13" s="1282"/>
      <c r="AF13" s="1282"/>
      <c r="AG13" s="1282"/>
      <c r="AH13" s="1282"/>
      <c r="AI13" s="1282"/>
      <c r="AJ13" s="1282"/>
      <c r="AK13" s="1282"/>
      <c r="AL13" s="1282"/>
      <c r="AM13" s="1282"/>
      <c r="AN13" s="1282"/>
      <c r="AO13" s="1282"/>
      <c r="AP13" s="1282"/>
      <c r="AQ13" s="211" t="s">
        <v>96</v>
      </c>
      <c r="AR13" s="211" t="s">
        <v>96</v>
      </c>
      <c r="AS13" s="1101"/>
    </row>
    <row r="14" spans="1:50" s="1" customFormat="1" ht="123" customHeight="1">
      <c r="A14" s="1103"/>
      <c r="B14" s="1103"/>
      <c r="C14" s="1103"/>
      <c r="D14" s="1103" t="s">
        <v>90</v>
      </c>
      <c r="E14" s="1103"/>
      <c r="F14" s="1103"/>
      <c r="G14" s="27" t="s">
        <v>100</v>
      </c>
      <c r="H14" s="27" t="s">
        <v>93</v>
      </c>
      <c r="I14" s="28">
        <v>100</v>
      </c>
      <c r="J14" s="28">
        <v>100</v>
      </c>
      <c r="K14" s="1107"/>
      <c r="L14" s="1107"/>
      <c r="M14" s="148" t="s">
        <v>984</v>
      </c>
      <c r="N14" s="211">
        <v>1</v>
      </c>
      <c r="O14" s="211" t="s">
        <v>340</v>
      </c>
      <c r="P14" s="211">
        <v>0</v>
      </c>
      <c r="Q14" s="211">
        <v>0</v>
      </c>
      <c r="R14" s="211">
        <v>0</v>
      </c>
      <c r="S14" s="211">
        <v>1</v>
      </c>
      <c r="T14" s="211" t="s">
        <v>975</v>
      </c>
      <c r="U14" s="1103"/>
      <c r="V14" s="1281"/>
      <c r="W14" s="1281"/>
      <c r="X14" s="211"/>
      <c r="Y14" s="1282"/>
      <c r="Z14" s="1282"/>
      <c r="AA14" s="1282"/>
      <c r="AB14" s="1282">
        <v>5443333</v>
      </c>
      <c r="AC14" s="1282">
        <v>5443333</v>
      </c>
      <c r="AD14" s="1282"/>
      <c r="AE14" s="1282"/>
      <c r="AF14" s="1282"/>
      <c r="AG14" s="1282"/>
      <c r="AH14" s="1282"/>
      <c r="AI14" s="1282"/>
      <c r="AJ14" s="1282"/>
      <c r="AK14" s="1282"/>
      <c r="AL14" s="1282"/>
      <c r="AM14" s="1282"/>
      <c r="AN14" s="1282"/>
      <c r="AO14" s="1282"/>
      <c r="AP14" s="1282"/>
      <c r="AQ14" s="211" t="s">
        <v>96</v>
      </c>
      <c r="AR14" s="211" t="s">
        <v>96</v>
      </c>
      <c r="AS14" s="1101"/>
    </row>
    <row r="15" spans="1:50" s="1" customFormat="1" ht="123" customHeight="1">
      <c r="A15" s="1103"/>
      <c r="B15" s="1103"/>
      <c r="C15" s="1103"/>
      <c r="D15" s="1103"/>
      <c r="E15" s="1103"/>
      <c r="F15" s="1103"/>
      <c r="G15" s="27" t="s">
        <v>985</v>
      </c>
      <c r="H15" s="27" t="s">
        <v>986</v>
      </c>
      <c r="I15" s="28" t="s">
        <v>69</v>
      </c>
      <c r="J15" s="28">
        <v>1</v>
      </c>
      <c r="K15" s="1107"/>
      <c r="L15" s="1107"/>
      <c r="M15" s="148" t="s">
        <v>987</v>
      </c>
      <c r="N15" s="211">
        <v>1</v>
      </c>
      <c r="O15" s="211" t="s">
        <v>340</v>
      </c>
      <c r="P15" s="211">
        <v>0</v>
      </c>
      <c r="Q15" s="211">
        <v>0</v>
      </c>
      <c r="R15" s="211">
        <v>1</v>
      </c>
      <c r="S15" s="211">
        <v>0</v>
      </c>
      <c r="T15" s="211" t="s">
        <v>975</v>
      </c>
      <c r="U15" s="1103"/>
      <c r="V15" s="1281"/>
      <c r="W15" s="1281"/>
      <c r="X15" s="211"/>
      <c r="Y15" s="1282"/>
      <c r="Z15" s="1282"/>
      <c r="AA15" s="1282"/>
      <c r="AB15" s="1282">
        <v>5443333</v>
      </c>
      <c r="AC15" s="1282">
        <v>5443333</v>
      </c>
      <c r="AD15" s="1282"/>
      <c r="AE15" s="1282"/>
      <c r="AF15" s="1282"/>
      <c r="AG15" s="1282"/>
      <c r="AH15" s="1282"/>
      <c r="AI15" s="1282"/>
      <c r="AJ15" s="1282"/>
      <c r="AK15" s="1282"/>
      <c r="AL15" s="1282"/>
      <c r="AM15" s="1282"/>
      <c r="AN15" s="1282"/>
      <c r="AO15" s="1282"/>
      <c r="AP15" s="1282"/>
      <c r="AQ15" s="211" t="s">
        <v>96</v>
      </c>
      <c r="AR15" s="211" t="s">
        <v>96</v>
      </c>
      <c r="AS15" s="1101"/>
    </row>
    <row r="16" spans="1:50" s="1" customFormat="1" ht="125.25" customHeight="1">
      <c r="A16" s="1103"/>
      <c r="B16" s="1103"/>
      <c r="C16" s="1103"/>
      <c r="D16" s="1103"/>
      <c r="E16" s="1103"/>
      <c r="F16" s="1103"/>
      <c r="G16" s="27" t="s">
        <v>97</v>
      </c>
      <c r="H16" s="27" t="s">
        <v>93</v>
      </c>
      <c r="I16" s="28">
        <v>20</v>
      </c>
      <c r="J16" s="28">
        <v>80</v>
      </c>
      <c r="K16" s="1107"/>
      <c r="L16" s="1107"/>
      <c r="M16" s="29" t="s">
        <v>988</v>
      </c>
      <c r="N16" s="211">
        <v>16</v>
      </c>
      <c r="O16" s="211" t="s">
        <v>340</v>
      </c>
      <c r="P16" s="211">
        <v>4</v>
      </c>
      <c r="Q16" s="211">
        <v>2</v>
      </c>
      <c r="R16" s="211">
        <v>6</v>
      </c>
      <c r="S16" s="211">
        <v>4</v>
      </c>
      <c r="T16" s="211" t="s">
        <v>975</v>
      </c>
      <c r="U16" s="1103"/>
      <c r="V16" s="1281"/>
      <c r="W16" s="1281"/>
      <c r="X16" s="211"/>
      <c r="Y16" s="1282"/>
      <c r="Z16" s="1282"/>
      <c r="AA16" s="1282"/>
      <c r="AB16" s="1282">
        <v>5443334</v>
      </c>
      <c r="AC16" s="1282">
        <v>5443334</v>
      </c>
      <c r="AD16" s="1282"/>
      <c r="AE16" s="1282"/>
      <c r="AF16" s="1282"/>
      <c r="AG16" s="1282"/>
      <c r="AH16" s="1282"/>
      <c r="AI16" s="1282"/>
      <c r="AJ16" s="1282"/>
      <c r="AK16" s="1282"/>
      <c r="AL16" s="1282"/>
      <c r="AM16" s="1282"/>
      <c r="AN16" s="1282"/>
      <c r="AO16" s="1282"/>
      <c r="AP16" s="1282"/>
      <c r="AQ16" s="211" t="s">
        <v>96</v>
      </c>
      <c r="AR16" s="211" t="s">
        <v>96</v>
      </c>
      <c r="AS16" s="1102"/>
    </row>
    <row r="17" spans="1:45" s="1" customFormat="1" ht="125.25" customHeight="1">
      <c r="A17" s="1111" t="s">
        <v>979</v>
      </c>
      <c r="B17" s="1111"/>
      <c r="C17" s="1111"/>
      <c r="D17" s="1111"/>
      <c r="E17" s="1111"/>
      <c r="F17" s="1111"/>
      <c r="G17" s="1111"/>
      <c r="H17" s="1111"/>
      <c r="I17" s="1111"/>
      <c r="J17" s="1111"/>
      <c r="K17" s="1111"/>
      <c r="L17" s="1111"/>
      <c r="M17" s="1111"/>
      <c r="N17" s="84">
        <f>SUM(N12:N16)</f>
        <v>22</v>
      </c>
      <c r="O17" s="84" t="s">
        <v>989</v>
      </c>
      <c r="P17" s="84">
        <f t="shared" ref="P17:S17" si="5">SUM(P12:P16)</f>
        <v>4</v>
      </c>
      <c r="Q17" s="84">
        <f t="shared" si="5"/>
        <v>3</v>
      </c>
      <c r="R17" s="84">
        <f t="shared" si="5"/>
        <v>8</v>
      </c>
      <c r="S17" s="84">
        <f t="shared" si="5"/>
        <v>7</v>
      </c>
      <c r="T17" s="84"/>
      <c r="U17" s="84"/>
      <c r="V17" s="279">
        <f>V12</f>
        <v>111000000</v>
      </c>
      <c r="W17" s="279">
        <f>W12</f>
        <v>111000000</v>
      </c>
      <c r="X17" s="84">
        <f>X16+X15+X14+X13+X12</f>
        <v>0</v>
      </c>
      <c r="Y17" s="84">
        <f t="shared" ref="Y17:AA17" si="6">Y16+Y15+Y14+Y13+Y12</f>
        <v>0</v>
      </c>
      <c r="Z17" s="84">
        <f t="shared" si="6"/>
        <v>0</v>
      </c>
      <c r="AA17" s="84">
        <f t="shared" si="6"/>
        <v>0</v>
      </c>
      <c r="AB17" s="279">
        <f>AB16+AB15+AB14+AB13+AB12</f>
        <v>27216666</v>
      </c>
      <c r="AC17" s="279">
        <f t="shared" ref="AC17:AG17" si="7">AC16+AC15+AC14+AC13+AC12</f>
        <v>27216666</v>
      </c>
      <c r="AD17" s="279">
        <f t="shared" si="7"/>
        <v>0</v>
      </c>
      <c r="AE17" s="279">
        <f t="shared" si="7"/>
        <v>0</v>
      </c>
      <c r="AF17" s="279">
        <f t="shared" si="7"/>
        <v>0</v>
      </c>
      <c r="AG17" s="279">
        <f t="shared" si="7"/>
        <v>0</v>
      </c>
      <c r="AH17" s="84"/>
      <c r="AI17" s="84"/>
      <c r="AJ17" s="84"/>
      <c r="AK17" s="84"/>
      <c r="AL17" s="84"/>
      <c r="AM17" s="84"/>
      <c r="AN17" s="84"/>
      <c r="AO17" s="84"/>
      <c r="AP17" s="84"/>
      <c r="AQ17" s="84"/>
      <c r="AR17" s="84"/>
      <c r="AS17" s="210"/>
    </row>
    <row r="18" spans="1:45" s="1" customFormat="1" ht="115.5" customHeight="1">
      <c r="A18" s="1103" t="s">
        <v>102</v>
      </c>
      <c r="B18" s="1103" t="s">
        <v>103</v>
      </c>
      <c r="C18" s="27" t="s">
        <v>104</v>
      </c>
      <c r="D18" s="1103" t="s">
        <v>68</v>
      </c>
      <c r="E18" s="1103">
        <v>95</v>
      </c>
      <c r="F18" s="1103" t="s">
        <v>105</v>
      </c>
      <c r="G18" s="1103" t="s">
        <v>106</v>
      </c>
      <c r="H18" s="1103" t="s">
        <v>72</v>
      </c>
      <c r="I18" s="1107" t="s">
        <v>69</v>
      </c>
      <c r="J18" s="1107">
        <v>4</v>
      </c>
      <c r="K18" s="1107"/>
      <c r="L18" s="1103" t="s">
        <v>107</v>
      </c>
      <c r="M18" s="29" t="s">
        <v>990</v>
      </c>
      <c r="N18" s="211">
        <v>4</v>
      </c>
      <c r="O18" s="211" t="s">
        <v>72</v>
      </c>
      <c r="P18" s="211">
        <v>0</v>
      </c>
      <c r="Q18" s="211">
        <v>2</v>
      </c>
      <c r="R18" s="211">
        <v>2</v>
      </c>
      <c r="S18" s="211">
        <v>0</v>
      </c>
      <c r="T18" s="1103" t="s">
        <v>975</v>
      </c>
      <c r="U18" s="1103"/>
      <c r="V18" s="1281">
        <f>63000000+48000000</f>
        <v>111000000</v>
      </c>
      <c r="W18" s="1281">
        <f>V18</f>
        <v>111000000</v>
      </c>
      <c r="X18" s="211"/>
      <c r="Y18" s="1282"/>
      <c r="Z18" s="1282"/>
      <c r="AA18" s="1282"/>
      <c r="AB18" s="1282">
        <v>6390416</v>
      </c>
      <c r="AC18" s="1282">
        <v>6390416</v>
      </c>
      <c r="AD18" s="1282"/>
      <c r="AE18" s="1282"/>
      <c r="AF18" s="1282"/>
      <c r="AG18" s="1282"/>
      <c r="AH18" s="1282"/>
      <c r="AI18" s="1282"/>
      <c r="AJ18" s="1282"/>
      <c r="AK18" s="1282"/>
      <c r="AL18" s="1282"/>
      <c r="AM18" s="1282"/>
      <c r="AN18" s="1282"/>
      <c r="AO18" s="1282"/>
      <c r="AP18" s="1282"/>
      <c r="AQ18" s="1103" t="s">
        <v>109</v>
      </c>
      <c r="AR18" s="1103" t="s">
        <v>109</v>
      </c>
      <c r="AS18" s="1100" t="s">
        <v>991</v>
      </c>
    </row>
    <row r="19" spans="1:45" s="1" customFormat="1" ht="115.5" customHeight="1">
      <c r="A19" s="1103"/>
      <c r="B19" s="1103"/>
      <c r="C19" s="27"/>
      <c r="D19" s="1103"/>
      <c r="E19" s="1103"/>
      <c r="F19" s="1103"/>
      <c r="G19" s="1103"/>
      <c r="H19" s="1103"/>
      <c r="I19" s="1107"/>
      <c r="J19" s="1107"/>
      <c r="K19" s="1107"/>
      <c r="L19" s="1103"/>
      <c r="M19" s="29" t="s">
        <v>992</v>
      </c>
      <c r="N19" s="211">
        <v>4</v>
      </c>
      <c r="O19" s="211" t="s">
        <v>72</v>
      </c>
      <c r="P19" s="211">
        <v>1</v>
      </c>
      <c r="Q19" s="211">
        <v>1</v>
      </c>
      <c r="R19" s="211">
        <v>1</v>
      </c>
      <c r="S19" s="211">
        <v>1</v>
      </c>
      <c r="T19" s="1103"/>
      <c r="U19" s="1103"/>
      <c r="V19" s="1281"/>
      <c r="W19" s="1281"/>
      <c r="X19" s="211"/>
      <c r="Y19" s="1282"/>
      <c r="Z19" s="1282"/>
      <c r="AA19" s="1282"/>
      <c r="AB19" s="1282">
        <v>6390417</v>
      </c>
      <c r="AC19" s="1282">
        <v>6390417</v>
      </c>
      <c r="AD19" s="1282"/>
      <c r="AE19" s="1282"/>
      <c r="AF19" s="1282"/>
      <c r="AG19" s="1282"/>
      <c r="AH19" s="1282"/>
      <c r="AI19" s="1282"/>
      <c r="AJ19" s="1282"/>
      <c r="AK19" s="1282"/>
      <c r="AL19" s="1282"/>
      <c r="AM19" s="1282"/>
      <c r="AN19" s="1282"/>
      <c r="AO19" s="1282"/>
      <c r="AP19" s="1282"/>
      <c r="AQ19" s="1103"/>
      <c r="AR19" s="1103"/>
      <c r="AS19" s="1101"/>
    </row>
    <row r="20" spans="1:45" s="1" customFormat="1" ht="135.75" customHeight="1">
      <c r="A20" s="1103"/>
      <c r="B20" s="1103"/>
      <c r="C20" s="27"/>
      <c r="D20" s="1103"/>
      <c r="E20" s="1103"/>
      <c r="F20" s="1103"/>
      <c r="G20" s="27" t="s">
        <v>112</v>
      </c>
      <c r="H20" s="27" t="s">
        <v>93</v>
      </c>
      <c r="I20" s="28">
        <v>100</v>
      </c>
      <c r="J20" s="28">
        <v>100</v>
      </c>
      <c r="K20" s="212"/>
      <c r="L20" s="27" t="s">
        <v>113</v>
      </c>
      <c r="M20" s="29" t="s">
        <v>993</v>
      </c>
      <c r="N20" s="211">
        <v>100</v>
      </c>
      <c r="O20" s="211" t="s">
        <v>98</v>
      </c>
      <c r="P20" s="211">
        <v>25</v>
      </c>
      <c r="Q20" s="211">
        <v>25</v>
      </c>
      <c r="R20" s="211">
        <v>25</v>
      </c>
      <c r="S20" s="211">
        <v>25</v>
      </c>
      <c r="T20" s="211" t="s">
        <v>975</v>
      </c>
      <c r="U20" s="211"/>
      <c r="V20" s="1281"/>
      <c r="W20" s="1281"/>
      <c r="X20" s="211"/>
      <c r="Y20" s="1282"/>
      <c r="Z20" s="1282"/>
      <c r="AA20" s="1282"/>
      <c r="AB20" s="1282">
        <v>6390417</v>
      </c>
      <c r="AC20" s="1282">
        <v>6390417</v>
      </c>
      <c r="AD20" s="1282"/>
      <c r="AE20" s="1282"/>
      <c r="AF20" s="1282"/>
      <c r="AG20" s="1282"/>
      <c r="AH20" s="1282"/>
      <c r="AI20" s="1282"/>
      <c r="AJ20" s="1282"/>
      <c r="AK20" s="1282"/>
      <c r="AL20" s="1282"/>
      <c r="AM20" s="1282"/>
      <c r="AN20" s="1282"/>
      <c r="AO20" s="1282"/>
      <c r="AP20" s="1282"/>
      <c r="AQ20" s="1103" t="s">
        <v>109</v>
      </c>
      <c r="AR20" s="1103" t="s">
        <v>109</v>
      </c>
      <c r="AS20" s="1102"/>
    </row>
    <row r="21" spans="1:45" s="1" customFormat="1" ht="135.75" customHeight="1">
      <c r="A21" s="211"/>
      <c r="B21" s="1103"/>
      <c r="C21" s="211"/>
      <c r="D21" s="211"/>
      <c r="E21" s="211"/>
      <c r="F21" s="211"/>
      <c r="G21" s="27"/>
      <c r="H21" s="27"/>
      <c r="I21" s="28"/>
      <c r="J21" s="28"/>
      <c r="K21" s="212"/>
      <c r="L21" s="27"/>
      <c r="M21" s="29" t="s">
        <v>994</v>
      </c>
      <c r="N21" s="211">
        <v>10</v>
      </c>
      <c r="O21" s="211" t="s">
        <v>86</v>
      </c>
      <c r="P21" s="211">
        <v>1</v>
      </c>
      <c r="Q21" s="211">
        <v>3</v>
      </c>
      <c r="R21" s="211">
        <v>3</v>
      </c>
      <c r="S21" s="211">
        <v>3</v>
      </c>
      <c r="T21" s="211"/>
      <c r="U21" s="211"/>
      <c r="V21" s="1281"/>
      <c r="W21" s="1281"/>
      <c r="X21" s="211"/>
      <c r="Y21" s="1282"/>
      <c r="Z21" s="1282"/>
      <c r="AA21" s="1282"/>
      <c r="AB21" s="1282">
        <v>6390416</v>
      </c>
      <c r="AC21" s="1282">
        <v>6390416</v>
      </c>
      <c r="AD21" s="1282"/>
      <c r="AE21" s="1282"/>
      <c r="AF21" s="1282"/>
      <c r="AG21" s="1282"/>
      <c r="AH21" s="1282"/>
      <c r="AI21" s="1282"/>
      <c r="AJ21" s="1282"/>
      <c r="AK21" s="1282"/>
      <c r="AL21" s="1282"/>
      <c r="AM21" s="1282"/>
      <c r="AN21" s="1282"/>
      <c r="AO21" s="1282"/>
      <c r="AP21" s="1282"/>
      <c r="AQ21" s="1103"/>
      <c r="AR21" s="1103"/>
      <c r="AS21" s="210"/>
    </row>
    <row r="22" spans="1:45" s="1" customFormat="1" ht="51" customHeight="1">
      <c r="A22" s="1110" t="s">
        <v>979</v>
      </c>
      <c r="B22" s="1110"/>
      <c r="C22" s="1110"/>
      <c r="D22" s="1110"/>
      <c r="E22" s="1110"/>
      <c r="F22" s="1110"/>
      <c r="G22" s="1110"/>
      <c r="H22" s="1110"/>
      <c r="I22" s="1110"/>
      <c r="J22" s="1110"/>
      <c r="K22" s="1110"/>
      <c r="L22" s="1110"/>
      <c r="M22" s="1110"/>
      <c r="N22" s="87">
        <f>N21+N19+N18</f>
        <v>18</v>
      </c>
      <c r="O22" s="87" t="s">
        <v>142</v>
      </c>
      <c r="P22" s="87">
        <f>SUM(P18:P21)</f>
        <v>27</v>
      </c>
      <c r="Q22" s="87">
        <f t="shared" ref="Q22" si="8">SUM(Q18:Q21)</f>
        <v>31</v>
      </c>
      <c r="R22" s="87">
        <f t="shared" ref="R22" si="9">SUM(R18:R21)</f>
        <v>31</v>
      </c>
      <c r="S22" s="87">
        <f t="shared" ref="S22" si="10">SUM(S18:S21)</f>
        <v>29</v>
      </c>
      <c r="T22" s="87"/>
      <c r="U22" s="87"/>
      <c r="V22" s="1284">
        <f>V21+V20+V18</f>
        <v>111000000</v>
      </c>
      <c r="W22" s="1284">
        <f>W21+W20+W18</f>
        <v>111000000</v>
      </c>
      <c r="X22" s="87">
        <f>SUM(X18:X21)</f>
        <v>0</v>
      </c>
      <c r="Y22" s="87">
        <f t="shared" ref="Y22" si="11">SUM(Y18:Y21)</f>
        <v>0</v>
      </c>
      <c r="Z22" s="87">
        <f t="shared" ref="Z22" si="12">SUM(Z18:Z21)</f>
        <v>0</v>
      </c>
      <c r="AA22" s="87">
        <f t="shared" ref="AA22" si="13">SUM(AA18:AA21)</f>
        <v>0</v>
      </c>
      <c r="AB22" s="1284">
        <f>SUM(AB18:AB21)</f>
        <v>25561666</v>
      </c>
      <c r="AC22" s="1284">
        <f t="shared" ref="AC22" si="14">SUM(AC18:AC21)</f>
        <v>25561666</v>
      </c>
      <c r="AD22" s="1284">
        <f t="shared" ref="AD22" si="15">SUM(AD18:AD21)</f>
        <v>0</v>
      </c>
      <c r="AE22" s="1284">
        <f t="shared" ref="AE22" si="16">SUM(AE18:AE21)</f>
        <v>0</v>
      </c>
      <c r="AF22" s="1284">
        <f>SUM(AF18:AF21)</f>
        <v>0</v>
      </c>
      <c r="AG22" s="1284">
        <f t="shared" ref="AG22" si="17">SUM(AG18:AG21)</f>
        <v>0</v>
      </c>
      <c r="AH22" s="1283"/>
      <c r="AI22" s="1283"/>
      <c r="AJ22" s="1283"/>
      <c r="AK22" s="1283"/>
      <c r="AL22" s="1283"/>
      <c r="AM22" s="1283"/>
      <c r="AN22" s="1283"/>
      <c r="AO22" s="1283"/>
      <c r="AP22" s="1283"/>
      <c r="AQ22" s="87"/>
      <c r="AR22" s="87"/>
      <c r="AS22" s="207"/>
    </row>
    <row r="23" spans="1:45" s="1" customFormat="1" ht="47.25" customHeight="1">
      <c r="A23" s="1110"/>
      <c r="B23" s="1110"/>
      <c r="C23" s="1110"/>
      <c r="D23" s="1110"/>
      <c r="E23" s="1110"/>
      <c r="F23" s="1110"/>
      <c r="G23" s="1110"/>
      <c r="H23" s="1110"/>
      <c r="I23" s="1110"/>
      <c r="J23" s="1110"/>
      <c r="K23" s="1110"/>
      <c r="L23" s="1110"/>
      <c r="M23" s="1110"/>
      <c r="N23" s="87">
        <f>N20</f>
        <v>100</v>
      </c>
      <c r="O23" s="87" t="s">
        <v>98</v>
      </c>
      <c r="P23" s="87">
        <f t="shared" ref="P23:S23" si="18">P20</f>
        <v>25</v>
      </c>
      <c r="Q23" s="87">
        <f t="shared" si="18"/>
        <v>25</v>
      </c>
      <c r="R23" s="87">
        <f t="shared" si="18"/>
        <v>25</v>
      </c>
      <c r="S23" s="87">
        <f t="shared" si="18"/>
        <v>25</v>
      </c>
      <c r="T23" s="87"/>
      <c r="U23" s="87"/>
      <c r="V23" s="1284"/>
      <c r="W23" s="1284"/>
      <c r="X23" s="87">
        <f>X20</f>
        <v>0</v>
      </c>
      <c r="Y23" s="87">
        <f t="shared" ref="Y23:AA23" si="19">Y20</f>
        <v>0</v>
      </c>
      <c r="Z23" s="87">
        <f t="shared" si="19"/>
        <v>0</v>
      </c>
      <c r="AA23" s="87">
        <f t="shared" si="19"/>
        <v>0</v>
      </c>
      <c r="AB23" s="1284"/>
      <c r="AC23" s="1284"/>
      <c r="AD23" s="1284"/>
      <c r="AE23" s="1284"/>
      <c r="AF23" s="1284"/>
      <c r="AG23" s="1284"/>
      <c r="AH23" s="1283"/>
      <c r="AI23" s="1283"/>
      <c r="AJ23" s="1283"/>
      <c r="AK23" s="1283"/>
      <c r="AL23" s="1283"/>
      <c r="AM23" s="1283"/>
      <c r="AN23" s="1283"/>
      <c r="AO23" s="1283"/>
      <c r="AP23" s="1283"/>
      <c r="AQ23" s="87"/>
      <c r="AR23" s="87"/>
      <c r="AS23" s="207"/>
    </row>
    <row r="24" spans="1:45" s="1" customFormat="1">
      <c r="A24" s="3"/>
      <c r="B24" s="3"/>
      <c r="C24" s="3"/>
      <c r="D24" s="3"/>
      <c r="E24" s="3"/>
      <c r="F24" s="3"/>
      <c r="G24" s="3"/>
      <c r="H24" s="3"/>
      <c r="M24" s="5"/>
      <c r="N24" s="3"/>
      <c r="O24" s="3"/>
      <c r="P24" s="3"/>
      <c r="Q24" s="3"/>
      <c r="R24" s="3"/>
      <c r="S24" s="3"/>
      <c r="T24" s="3"/>
      <c r="U24" s="3"/>
      <c r="V24" s="7"/>
      <c r="W24" s="8"/>
      <c r="X24" s="8"/>
      <c r="Y24" s="8"/>
      <c r="Z24" s="8"/>
      <c r="AA24" s="8"/>
      <c r="AB24" s="8"/>
      <c r="AC24" s="8"/>
      <c r="AD24" s="8"/>
      <c r="AE24" s="8"/>
      <c r="AF24" s="8"/>
      <c r="AG24" s="8"/>
      <c r="AH24" s="8"/>
      <c r="AI24" s="8"/>
      <c r="AJ24" s="8"/>
      <c r="AK24" s="8"/>
      <c r="AL24" s="8"/>
      <c r="AM24" s="8"/>
      <c r="AN24" s="8"/>
      <c r="AO24" s="8"/>
      <c r="AP24" s="8"/>
      <c r="AQ24" s="3"/>
      <c r="AR24" s="3"/>
    </row>
    <row r="25" spans="1:45" s="1" customFormat="1" ht="28.5" customHeight="1">
      <c r="A25" s="1108" t="s">
        <v>995</v>
      </c>
      <c r="B25" s="1108"/>
      <c r="C25" s="1108"/>
      <c r="D25" s="1108"/>
      <c r="E25" s="1108"/>
      <c r="F25" s="1108"/>
      <c r="G25" s="1108"/>
      <c r="H25" s="1108"/>
      <c r="I25" s="1108"/>
      <c r="J25" s="1108"/>
      <c r="K25" s="1108"/>
      <c r="L25" s="1108"/>
      <c r="M25" s="1108"/>
      <c r="N25" s="1108"/>
      <c r="O25" s="1108"/>
      <c r="P25" s="3"/>
      <c r="Q25" s="3"/>
      <c r="R25" s="3"/>
      <c r="S25" s="3"/>
      <c r="T25" s="3">
        <v>90692582256</v>
      </c>
      <c r="U25" s="3"/>
      <c r="V25" s="7"/>
      <c r="W25" s="8"/>
      <c r="X25" s="8"/>
      <c r="Y25" s="8"/>
      <c r="Z25" s="8"/>
      <c r="AA25" s="8"/>
      <c r="AB25" s="8"/>
      <c r="AC25" s="8"/>
      <c r="AD25" s="8"/>
      <c r="AE25" s="8"/>
      <c r="AF25" s="8"/>
      <c r="AG25" s="8"/>
      <c r="AH25" s="8"/>
      <c r="AI25" s="8"/>
      <c r="AJ25" s="8"/>
      <c r="AK25" s="8"/>
      <c r="AL25" s="8"/>
      <c r="AM25" s="8"/>
      <c r="AN25" s="8"/>
      <c r="AO25" s="8"/>
      <c r="AP25" s="8"/>
      <c r="AQ25" s="3"/>
      <c r="AR25" s="3"/>
    </row>
    <row r="26" spans="1:45" s="1" customFormat="1" ht="90">
      <c r="A26" s="223" t="s">
        <v>996</v>
      </c>
      <c r="B26" s="224" t="s">
        <v>997</v>
      </c>
      <c r="C26" s="224" t="s">
        <v>998</v>
      </c>
      <c r="D26" s="224" t="s">
        <v>660</v>
      </c>
      <c r="E26" s="224" t="s">
        <v>999</v>
      </c>
      <c r="F26" s="224" t="s">
        <v>660</v>
      </c>
      <c r="G26" s="224" t="s">
        <v>1000</v>
      </c>
      <c r="H26" s="224" t="s">
        <v>660</v>
      </c>
      <c r="I26" s="224"/>
      <c r="J26" s="225"/>
      <c r="K26" s="225"/>
      <c r="L26" s="225"/>
      <c r="M26" s="224" t="s">
        <v>660</v>
      </c>
      <c r="N26" s="224" t="s">
        <v>1001</v>
      </c>
      <c r="O26" s="224" t="s">
        <v>660</v>
      </c>
      <c r="P26" s="3"/>
      <c r="Q26" s="3"/>
      <c r="R26" s="3"/>
      <c r="S26" s="3"/>
      <c r="T26" s="3">
        <v>59707696938</v>
      </c>
      <c r="U26" s="3"/>
      <c r="V26" s="7"/>
      <c r="W26" s="11" t="e">
        <f>#REF!-#REF!</f>
        <v>#REF!</v>
      </c>
      <c r="X26" s="11"/>
      <c r="Y26" s="11"/>
      <c r="Z26" s="11"/>
      <c r="AA26" s="11"/>
      <c r="AB26" s="11"/>
      <c r="AC26" s="11"/>
      <c r="AD26" s="11"/>
      <c r="AE26" s="11"/>
      <c r="AF26" s="11"/>
      <c r="AG26" s="11"/>
      <c r="AH26" s="11"/>
      <c r="AI26" s="11"/>
      <c r="AJ26" s="11"/>
      <c r="AK26" s="11"/>
      <c r="AL26" s="11"/>
      <c r="AM26" s="11"/>
      <c r="AN26" s="11"/>
      <c r="AO26" s="11"/>
      <c r="AP26" s="11"/>
      <c r="AQ26" s="3"/>
      <c r="AR26" s="3"/>
    </row>
    <row r="27" spans="1:45" s="1" customFormat="1">
      <c r="A27" s="213" t="s">
        <v>1002</v>
      </c>
      <c r="B27" s="213">
        <f>N11</f>
        <v>11</v>
      </c>
      <c r="C27" s="213">
        <f>X11</f>
        <v>0</v>
      </c>
      <c r="D27" s="220">
        <f>B27*C27/100</f>
        <v>0</v>
      </c>
      <c r="E27" s="213">
        <v>0</v>
      </c>
      <c r="F27" s="220">
        <f>E27*B27/100</f>
        <v>0</v>
      </c>
      <c r="G27" s="213">
        <f>Z11</f>
        <v>0</v>
      </c>
      <c r="H27" s="213"/>
      <c r="I27" s="214"/>
      <c r="J27" s="214"/>
      <c r="K27" s="214"/>
      <c r="L27" s="214"/>
      <c r="M27" s="258">
        <f>G27*B27/100</f>
        <v>0</v>
      </c>
      <c r="N27" s="213">
        <f>AA11</f>
        <v>0</v>
      </c>
      <c r="O27" s="220">
        <f>B27*N27/100</f>
        <v>0</v>
      </c>
      <c r="P27" s="3"/>
      <c r="Q27" s="3"/>
      <c r="R27" s="3"/>
      <c r="S27" s="3"/>
      <c r="T27" s="3">
        <f>+T25-T26</f>
        <v>30984885318</v>
      </c>
      <c r="U27" s="3"/>
      <c r="V27" s="7"/>
      <c r="W27" s="7"/>
      <c r="X27" s="7"/>
      <c r="Y27" s="7"/>
      <c r="Z27" s="7"/>
      <c r="AA27" s="7"/>
      <c r="AB27" s="7"/>
      <c r="AC27" s="7"/>
      <c r="AD27" s="7"/>
      <c r="AE27" s="7"/>
      <c r="AF27" s="7"/>
      <c r="AG27" s="7"/>
      <c r="AH27" s="7"/>
      <c r="AI27" s="7"/>
      <c r="AJ27" s="7"/>
      <c r="AK27" s="7"/>
      <c r="AL27" s="7"/>
      <c r="AM27" s="7"/>
      <c r="AN27" s="7"/>
      <c r="AO27" s="7"/>
      <c r="AP27" s="7"/>
      <c r="AQ27" s="3"/>
      <c r="AR27" s="3"/>
    </row>
    <row r="28" spans="1:45" s="1" customFormat="1">
      <c r="A28" s="213" t="s">
        <v>93</v>
      </c>
      <c r="B28" s="213">
        <v>0</v>
      </c>
      <c r="C28" s="213">
        <v>0</v>
      </c>
      <c r="D28" s="220">
        <f>B28*C28/100</f>
        <v>0</v>
      </c>
      <c r="E28" s="213">
        <v>0</v>
      </c>
      <c r="F28" s="220">
        <f>E28*B28/100</f>
        <v>0</v>
      </c>
      <c r="G28" s="213">
        <v>0</v>
      </c>
      <c r="H28" s="213"/>
      <c r="I28" s="214"/>
      <c r="J28" s="214"/>
      <c r="K28" s="214"/>
      <c r="L28" s="214"/>
      <c r="M28" s="258">
        <f>G28*B28/100</f>
        <v>0</v>
      </c>
      <c r="N28" s="213">
        <v>0</v>
      </c>
      <c r="O28" s="220">
        <f>B28*N28/100</f>
        <v>0</v>
      </c>
      <c r="P28" s="3"/>
      <c r="Q28" s="3"/>
      <c r="R28" s="3"/>
      <c r="S28" s="3"/>
      <c r="T28" s="3"/>
      <c r="U28" s="3"/>
      <c r="V28" s="7"/>
      <c r="W28" s="7"/>
      <c r="X28" s="7"/>
      <c r="Y28" s="7"/>
      <c r="Z28" s="7"/>
      <c r="AA28" s="7"/>
      <c r="AB28" s="7"/>
      <c r="AC28" s="7"/>
      <c r="AD28" s="7"/>
      <c r="AE28" s="7"/>
      <c r="AF28" s="7"/>
      <c r="AG28" s="7"/>
      <c r="AH28" s="7"/>
      <c r="AI28" s="7"/>
      <c r="AJ28" s="7"/>
      <c r="AK28" s="7"/>
      <c r="AL28" s="7"/>
      <c r="AM28" s="7"/>
      <c r="AN28" s="7"/>
      <c r="AO28" s="7"/>
      <c r="AP28" s="7"/>
      <c r="AQ28" s="3"/>
      <c r="AR28" s="3"/>
    </row>
    <row r="29" spans="1:45" s="1" customFormat="1">
      <c r="A29" s="3"/>
      <c r="B29" s="3"/>
      <c r="C29" s="3"/>
      <c r="D29" s="3"/>
      <c r="E29" s="3"/>
      <c r="F29" s="3"/>
      <c r="G29" s="3"/>
      <c r="H29" s="3"/>
      <c r="M29" s="5"/>
      <c r="N29" s="3"/>
      <c r="O29" s="3"/>
      <c r="P29" s="3"/>
      <c r="Q29" s="3"/>
      <c r="R29" s="3"/>
      <c r="S29" s="3"/>
      <c r="T29" s="3"/>
      <c r="U29" s="3"/>
      <c r="V29" s="7"/>
      <c r="W29" s="7"/>
      <c r="X29" s="7"/>
      <c r="Y29" s="7"/>
      <c r="Z29" s="7"/>
      <c r="AA29" s="7"/>
      <c r="AB29" s="7"/>
      <c r="AC29" s="7"/>
      <c r="AD29" s="7"/>
      <c r="AE29" s="7"/>
      <c r="AF29" s="7"/>
      <c r="AG29" s="7"/>
      <c r="AH29" s="7"/>
      <c r="AI29" s="7"/>
      <c r="AJ29" s="7"/>
      <c r="AK29" s="7"/>
      <c r="AL29" s="7"/>
      <c r="AM29" s="7"/>
      <c r="AN29" s="7"/>
      <c r="AO29" s="7"/>
      <c r="AP29" s="7"/>
      <c r="AQ29" s="3"/>
      <c r="AR29" s="3"/>
    </row>
    <row r="30" spans="1:45" s="1" customFormat="1" ht="15">
      <c r="A30" s="1109" t="s">
        <v>1003</v>
      </c>
      <c r="B30" s="1109"/>
      <c r="C30" s="1109"/>
      <c r="D30" s="1109"/>
      <c r="E30" s="1109"/>
      <c r="F30" s="1109"/>
      <c r="G30" s="1109"/>
      <c r="H30" s="1109"/>
      <c r="I30" s="1109"/>
      <c r="J30" s="1109"/>
      <c r="K30" s="1109"/>
      <c r="L30" s="1109"/>
      <c r="M30" s="1109"/>
      <c r="N30" s="1109"/>
      <c r="O30" s="3"/>
      <c r="P30" s="3"/>
      <c r="Q30" s="3"/>
      <c r="R30" s="3"/>
      <c r="S30" s="3"/>
      <c r="T30" s="3"/>
      <c r="U30" s="3"/>
      <c r="V30" s="7"/>
      <c r="W30" s="7"/>
      <c r="X30" s="7"/>
      <c r="Y30" s="7"/>
      <c r="Z30" s="7"/>
      <c r="AA30" s="7"/>
      <c r="AB30" s="7"/>
      <c r="AC30" s="7"/>
      <c r="AD30" s="7"/>
      <c r="AE30" s="7"/>
      <c r="AF30" s="7"/>
      <c r="AG30" s="7"/>
      <c r="AH30" s="7"/>
      <c r="AI30" s="7"/>
      <c r="AJ30" s="7"/>
      <c r="AK30" s="7"/>
      <c r="AL30" s="7"/>
      <c r="AM30" s="7"/>
      <c r="AN30" s="7"/>
      <c r="AO30" s="7"/>
      <c r="AP30" s="7"/>
      <c r="AQ30" s="3"/>
      <c r="AR30" s="3"/>
    </row>
    <row r="31" spans="1:45" s="1" customFormat="1" ht="45">
      <c r="A31" s="221" t="s">
        <v>674</v>
      </c>
      <c r="B31" s="221" t="s">
        <v>1004</v>
      </c>
      <c r="C31" s="221" t="s">
        <v>660</v>
      </c>
      <c r="D31" s="221" t="s">
        <v>1005</v>
      </c>
      <c r="E31" s="221" t="s">
        <v>660</v>
      </c>
      <c r="F31" s="221" t="s">
        <v>1006</v>
      </c>
      <c r="G31" s="221" t="s">
        <v>660</v>
      </c>
      <c r="H31" s="221"/>
      <c r="I31" s="222"/>
      <c r="J31" s="222"/>
      <c r="K31" s="222"/>
      <c r="L31" s="222"/>
      <c r="M31" s="221" t="s">
        <v>1007</v>
      </c>
      <c r="N31" s="221" t="s">
        <v>660</v>
      </c>
      <c r="O31" s="3"/>
      <c r="P31" s="3"/>
      <c r="Q31" s="3"/>
      <c r="R31" s="3"/>
      <c r="S31" s="3"/>
      <c r="T31" s="3"/>
      <c r="U31" s="3"/>
      <c r="V31" s="7"/>
      <c r="W31" s="7" t="e">
        <f>#REF!-W34</f>
        <v>#REF!</v>
      </c>
      <c r="X31" s="7"/>
      <c r="Y31" s="7"/>
      <c r="Z31" s="7"/>
      <c r="AA31" s="7"/>
      <c r="AB31" s="7"/>
      <c r="AC31" s="7"/>
      <c r="AD31" s="7"/>
      <c r="AE31" s="7"/>
      <c r="AF31" s="7"/>
      <c r="AG31" s="7"/>
      <c r="AH31" s="7"/>
      <c r="AI31" s="7"/>
      <c r="AJ31" s="7"/>
      <c r="AK31" s="7"/>
      <c r="AL31" s="7"/>
      <c r="AM31" s="7"/>
      <c r="AN31" s="7"/>
      <c r="AO31" s="7"/>
      <c r="AP31" s="7"/>
      <c r="AQ31" s="3"/>
      <c r="AR31" s="3"/>
    </row>
    <row r="32" spans="1:45" s="1" customFormat="1">
      <c r="A32" s="217">
        <f>V11</f>
        <v>546943571</v>
      </c>
      <c r="B32" s="217">
        <f>AB11</f>
        <v>121061676</v>
      </c>
      <c r="C32" s="220">
        <f>A32*B32/100</f>
        <v>662139053826849.88</v>
      </c>
      <c r="D32" s="217">
        <f>AC11</f>
        <v>121061676</v>
      </c>
      <c r="E32" s="220">
        <f>A32*D32/100</f>
        <v>662139053826849.88</v>
      </c>
      <c r="F32" s="217">
        <f>AD11</f>
        <v>0</v>
      </c>
      <c r="G32" s="220">
        <f>C32*F32/100</f>
        <v>0</v>
      </c>
      <c r="H32" s="213"/>
      <c r="I32" s="214"/>
      <c r="J32" s="214"/>
      <c r="K32" s="214"/>
      <c r="L32" s="214"/>
      <c r="M32" s="228">
        <f>AE11</f>
        <v>0</v>
      </c>
      <c r="N32" s="220">
        <f>J32*M32/100</f>
        <v>0</v>
      </c>
      <c r="O32" s="3"/>
      <c r="P32" s="3"/>
      <c r="Q32" s="3"/>
      <c r="R32" s="3"/>
      <c r="S32" s="3"/>
      <c r="T32" s="13" t="e">
        <f>T26-#REF!</f>
        <v>#REF!</v>
      </c>
      <c r="U32" s="3"/>
      <c r="V32" s="7"/>
      <c r="W32" s="7"/>
      <c r="X32" s="7"/>
      <c r="Y32" s="7"/>
      <c r="Z32" s="7"/>
      <c r="AA32" s="7"/>
      <c r="AB32" s="7"/>
      <c r="AC32" s="7"/>
      <c r="AD32" s="7"/>
      <c r="AE32" s="7"/>
      <c r="AF32" s="7"/>
      <c r="AG32" s="7"/>
      <c r="AH32" s="7"/>
      <c r="AI32" s="7"/>
      <c r="AJ32" s="7"/>
      <c r="AK32" s="7"/>
      <c r="AL32" s="7"/>
      <c r="AM32" s="7"/>
      <c r="AN32" s="7"/>
      <c r="AO32" s="7"/>
      <c r="AP32" s="7"/>
      <c r="AQ32" s="3"/>
      <c r="AR32" s="3"/>
    </row>
    <row r="33" spans="1:44" s="1" customFormat="1">
      <c r="A33" s="213"/>
      <c r="B33" s="213"/>
      <c r="C33" s="213"/>
      <c r="D33" s="213"/>
      <c r="E33" s="213"/>
      <c r="F33" s="213"/>
      <c r="G33" s="213"/>
      <c r="H33" s="213"/>
      <c r="I33" s="214"/>
      <c r="J33" s="214"/>
      <c r="K33" s="214"/>
      <c r="L33" s="214"/>
      <c r="M33" s="215"/>
      <c r="N33" s="213"/>
      <c r="O33" s="3"/>
      <c r="P33" s="3"/>
      <c r="Q33" s="3"/>
      <c r="R33" s="3"/>
      <c r="S33" s="3"/>
      <c r="T33" s="3"/>
      <c r="U33" s="14" t="e">
        <f>W34-#REF!</f>
        <v>#REF!</v>
      </c>
      <c r="V33" s="7"/>
      <c r="W33" s="7"/>
      <c r="X33" s="7"/>
      <c r="Y33" s="7"/>
      <c r="Z33" s="7"/>
      <c r="AA33" s="7"/>
      <c r="AB33" s="7"/>
      <c r="AC33" s="7"/>
      <c r="AD33" s="7"/>
      <c r="AE33" s="7"/>
      <c r="AF33" s="7"/>
      <c r="AG33" s="7"/>
      <c r="AH33" s="7"/>
      <c r="AI33" s="7"/>
      <c r="AJ33" s="7"/>
      <c r="AK33" s="7"/>
      <c r="AL33" s="7"/>
      <c r="AM33" s="7"/>
      <c r="AN33" s="7"/>
      <c r="AO33" s="7"/>
      <c r="AP33" s="7"/>
      <c r="AQ33" s="3"/>
      <c r="AR33" s="3"/>
    </row>
    <row r="34" spans="1:44" s="1" customFormat="1" ht="23.25">
      <c r="A34" s="3"/>
      <c r="B34" s="3"/>
      <c r="C34" s="3"/>
      <c r="D34" s="3"/>
      <c r="E34" s="3"/>
      <c r="F34" s="3"/>
      <c r="G34" s="3"/>
      <c r="H34" s="3"/>
      <c r="M34" s="5"/>
      <c r="N34" s="3"/>
      <c r="O34" s="3"/>
      <c r="P34" s="3"/>
      <c r="Q34" s="3"/>
      <c r="R34" s="3"/>
      <c r="S34" s="3"/>
      <c r="T34" s="3"/>
      <c r="U34" s="3"/>
      <c r="V34" s="7"/>
      <c r="W34" s="12">
        <v>90692582257</v>
      </c>
      <c r="X34" s="202"/>
      <c r="Y34" s="202"/>
      <c r="Z34" s="202"/>
      <c r="AA34" s="202"/>
      <c r="AB34" s="202"/>
      <c r="AC34" s="202"/>
      <c r="AD34" s="202"/>
      <c r="AE34" s="202"/>
      <c r="AF34" s="202"/>
      <c r="AG34" s="202"/>
      <c r="AH34" s="202"/>
      <c r="AI34" s="202"/>
      <c r="AJ34" s="202"/>
      <c r="AK34" s="202"/>
      <c r="AL34" s="202"/>
      <c r="AM34" s="202"/>
      <c r="AN34" s="202"/>
      <c r="AO34" s="202"/>
      <c r="AP34" s="202"/>
      <c r="AQ34" s="13" t="e">
        <f>W34-#REF!</f>
        <v>#REF!</v>
      </c>
      <c r="AR34" s="3"/>
    </row>
    <row r="35" spans="1:44" s="1" customFormat="1" ht="15">
      <c r="A35" s="1108" t="s">
        <v>1008</v>
      </c>
      <c r="B35" s="1108"/>
      <c r="C35" s="1108"/>
      <c r="D35" s="1108"/>
      <c r="E35" s="1108"/>
      <c r="F35" s="1108"/>
      <c r="G35" s="1108"/>
      <c r="H35" s="1108"/>
      <c r="I35" s="1108"/>
      <c r="J35" s="1108"/>
      <c r="K35" s="1108"/>
      <c r="L35" s="1108"/>
      <c r="M35" s="1108"/>
      <c r="N35" s="1108"/>
      <c r="O35" s="1108"/>
      <c r="P35" s="3"/>
      <c r="Q35" s="3"/>
      <c r="R35" s="3"/>
      <c r="S35" s="3"/>
      <c r="T35" s="3"/>
      <c r="U35" s="3"/>
      <c r="V35" s="7"/>
      <c r="W35" s="7"/>
      <c r="X35" s="7"/>
      <c r="Y35" s="7"/>
      <c r="Z35" s="7"/>
      <c r="AA35" s="7"/>
      <c r="AB35" s="7"/>
      <c r="AC35" s="7"/>
      <c r="AD35" s="7"/>
      <c r="AE35" s="7"/>
      <c r="AF35" s="7"/>
      <c r="AG35" s="7"/>
      <c r="AH35" s="7"/>
      <c r="AI35" s="7"/>
      <c r="AJ35" s="7"/>
      <c r="AK35" s="7"/>
      <c r="AL35" s="7"/>
      <c r="AM35" s="7"/>
      <c r="AN35" s="7"/>
      <c r="AO35" s="7"/>
      <c r="AP35" s="7"/>
      <c r="AQ35" s="3"/>
      <c r="AR35" s="3"/>
    </row>
    <row r="36" spans="1:44" s="1" customFormat="1" ht="90">
      <c r="A36" s="223" t="s">
        <v>996</v>
      </c>
      <c r="B36" s="224" t="s">
        <v>997</v>
      </c>
      <c r="C36" s="224" t="s">
        <v>998</v>
      </c>
      <c r="D36" s="224" t="s">
        <v>660</v>
      </c>
      <c r="E36" s="224" t="s">
        <v>999</v>
      </c>
      <c r="F36" s="224" t="s">
        <v>660</v>
      </c>
      <c r="G36" s="224" t="s">
        <v>1000</v>
      </c>
      <c r="H36" s="224" t="s">
        <v>660</v>
      </c>
      <c r="I36" s="224"/>
      <c r="J36" s="225"/>
      <c r="K36" s="225"/>
      <c r="L36" s="225"/>
      <c r="M36" s="224" t="s">
        <v>660</v>
      </c>
      <c r="N36" s="224" t="s">
        <v>1001</v>
      </c>
      <c r="O36" s="224" t="s">
        <v>660</v>
      </c>
      <c r="P36" s="3"/>
      <c r="Q36" s="3"/>
      <c r="R36" s="3"/>
      <c r="S36" s="3"/>
      <c r="T36" s="13" t="e">
        <f>#REF!-T26</f>
        <v>#REF!</v>
      </c>
      <c r="U36" s="3"/>
      <c r="V36" s="7"/>
      <c r="W36" s="7"/>
      <c r="X36" s="7"/>
      <c r="Y36" s="7"/>
      <c r="Z36" s="7"/>
      <c r="AA36" s="7"/>
      <c r="AB36" s="7"/>
      <c r="AC36" s="7"/>
      <c r="AD36" s="7"/>
      <c r="AE36" s="7"/>
      <c r="AF36" s="7"/>
      <c r="AG36" s="7"/>
      <c r="AH36" s="7"/>
      <c r="AI36" s="7"/>
      <c r="AJ36" s="7"/>
      <c r="AK36" s="7"/>
      <c r="AL36" s="7"/>
      <c r="AM36" s="7"/>
      <c r="AN36" s="7"/>
      <c r="AO36" s="7"/>
      <c r="AP36" s="7"/>
      <c r="AQ36" s="3"/>
      <c r="AR36" s="3"/>
    </row>
    <row r="37" spans="1:44" s="1" customFormat="1">
      <c r="A37" s="213" t="s">
        <v>1002</v>
      </c>
      <c r="B37" s="213">
        <f>N17</f>
        <v>22</v>
      </c>
      <c r="C37" s="213">
        <f>X17</f>
        <v>0</v>
      </c>
      <c r="D37" s="220">
        <f>B37*C37/100</f>
        <v>0</v>
      </c>
      <c r="E37" s="213">
        <f>Y17</f>
        <v>0</v>
      </c>
      <c r="F37" s="220">
        <f>D37*E37/100</f>
        <v>0</v>
      </c>
      <c r="G37" s="213">
        <f>Z17</f>
        <v>0</v>
      </c>
      <c r="H37" s="213"/>
      <c r="I37" s="214"/>
      <c r="J37" s="214"/>
      <c r="K37" s="214"/>
      <c r="L37" s="214"/>
      <c r="M37" s="220">
        <f>K37*L37/100</f>
        <v>0</v>
      </c>
      <c r="N37" s="213">
        <f>AA17</f>
        <v>0</v>
      </c>
      <c r="O37" s="220">
        <f>M37*N37/100</f>
        <v>0</v>
      </c>
      <c r="P37" s="3"/>
      <c r="Q37" s="3"/>
      <c r="R37" s="3"/>
      <c r="S37" s="3"/>
      <c r="T37" s="3"/>
      <c r="U37" s="3"/>
      <c r="V37" s="7"/>
      <c r="W37" s="7"/>
      <c r="X37" s="7"/>
      <c r="Y37" s="7"/>
      <c r="Z37" s="7"/>
      <c r="AA37" s="7"/>
      <c r="AB37" s="7"/>
      <c r="AC37" s="7"/>
      <c r="AD37" s="7"/>
      <c r="AE37" s="7"/>
      <c r="AF37" s="7"/>
      <c r="AG37" s="7"/>
      <c r="AH37" s="7"/>
      <c r="AI37" s="7"/>
      <c r="AJ37" s="7"/>
      <c r="AK37" s="7"/>
      <c r="AL37" s="7"/>
      <c r="AM37" s="7"/>
      <c r="AN37" s="7"/>
      <c r="AO37" s="7"/>
      <c r="AP37" s="7"/>
      <c r="AQ37" s="3"/>
      <c r="AR37" s="3"/>
    </row>
    <row r="38" spans="1:44" s="1" customFormat="1">
      <c r="A38" s="213" t="s">
        <v>93</v>
      </c>
      <c r="B38" s="213">
        <v>0</v>
      </c>
      <c r="C38" s="213">
        <v>0</v>
      </c>
      <c r="D38" s="220">
        <f>B38*C38/100</f>
        <v>0</v>
      </c>
      <c r="E38" s="213">
        <v>0</v>
      </c>
      <c r="F38" s="220">
        <f>D38*E38/100</f>
        <v>0</v>
      </c>
      <c r="G38" s="213">
        <v>0</v>
      </c>
      <c r="H38" s="213"/>
      <c r="I38" s="214"/>
      <c r="J38" s="214"/>
      <c r="K38" s="214"/>
      <c r="L38" s="214"/>
      <c r="M38" s="220">
        <f>K38*L38/100</f>
        <v>0</v>
      </c>
      <c r="N38" s="213">
        <v>0</v>
      </c>
      <c r="O38" s="220">
        <f>M38*N38/100</f>
        <v>0</v>
      </c>
      <c r="P38" s="3"/>
      <c r="Q38" s="3"/>
      <c r="R38" s="3"/>
      <c r="S38" s="3"/>
      <c r="T38" s="3"/>
      <c r="U38" s="3"/>
      <c r="V38" s="7"/>
      <c r="W38" s="7"/>
      <c r="X38" s="7"/>
      <c r="Y38" s="7"/>
      <c r="Z38" s="7"/>
      <c r="AA38" s="7"/>
      <c r="AB38" s="7"/>
      <c r="AC38" s="7"/>
      <c r="AD38" s="7"/>
      <c r="AE38" s="7"/>
      <c r="AF38" s="7"/>
      <c r="AG38" s="7"/>
      <c r="AH38" s="7"/>
      <c r="AI38" s="7"/>
      <c r="AJ38" s="7"/>
      <c r="AK38" s="7"/>
      <c r="AL38" s="7"/>
      <c r="AM38" s="7"/>
      <c r="AN38" s="7"/>
      <c r="AO38" s="7"/>
      <c r="AP38" s="7"/>
      <c r="AQ38" s="3"/>
      <c r="AR38" s="3"/>
    </row>
    <row r="39" spans="1:44" s="1" customFormat="1">
      <c r="A39" s="3"/>
      <c r="B39" s="3"/>
      <c r="C39" s="3"/>
      <c r="D39" s="3"/>
      <c r="E39" s="3"/>
      <c r="F39" s="3"/>
      <c r="G39" s="3"/>
      <c r="H39" s="3"/>
      <c r="M39" s="5"/>
      <c r="N39" s="3"/>
      <c r="O39" s="3"/>
      <c r="P39" s="3"/>
      <c r="Q39" s="3"/>
      <c r="R39" s="3"/>
      <c r="S39" s="3"/>
      <c r="T39" s="3"/>
      <c r="U39" s="3"/>
      <c r="V39" s="7"/>
      <c r="W39" s="7"/>
      <c r="X39" s="7"/>
      <c r="Y39" s="7"/>
      <c r="Z39" s="7"/>
      <c r="AA39" s="7"/>
      <c r="AB39" s="7"/>
      <c r="AC39" s="7"/>
      <c r="AD39" s="7"/>
      <c r="AE39" s="7"/>
      <c r="AF39" s="7"/>
      <c r="AG39" s="7"/>
      <c r="AH39" s="7"/>
      <c r="AI39" s="7"/>
      <c r="AJ39" s="7"/>
      <c r="AK39" s="7"/>
      <c r="AL39" s="7"/>
      <c r="AM39" s="7"/>
      <c r="AN39" s="7"/>
      <c r="AO39" s="7"/>
      <c r="AP39" s="7"/>
      <c r="AQ39" s="3"/>
      <c r="AR39" s="3"/>
    </row>
    <row r="40" spans="1:44" s="1" customFormat="1" ht="15">
      <c r="A40" s="1109" t="s">
        <v>1009</v>
      </c>
      <c r="B40" s="1109"/>
      <c r="C40" s="1109"/>
      <c r="D40" s="1109"/>
      <c r="E40" s="1109"/>
      <c r="F40" s="1109"/>
      <c r="G40" s="1109"/>
      <c r="H40" s="1109"/>
      <c r="I40" s="1109"/>
      <c r="J40" s="1109"/>
      <c r="K40" s="1109"/>
      <c r="L40" s="1109"/>
      <c r="M40" s="1109"/>
      <c r="N40" s="1109"/>
      <c r="O40" s="3"/>
      <c r="P40" s="3"/>
      <c r="Q40" s="3"/>
      <c r="R40" s="3"/>
      <c r="S40" s="3"/>
      <c r="T40" s="3"/>
      <c r="U40" s="3"/>
      <c r="V40" s="7"/>
      <c r="W40" s="7"/>
      <c r="X40" s="7"/>
      <c r="Y40" s="7"/>
      <c r="Z40" s="7"/>
      <c r="AA40" s="7"/>
      <c r="AB40" s="7"/>
      <c r="AC40" s="7"/>
      <c r="AD40" s="7"/>
      <c r="AE40" s="7"/>
      <c r="AF40" s="7"/>
      <c r="AG40" s="7"/>
      <c r="AH40" s="7"/>
      <c r="AI40" s="7"/>
      <c r="AJ40" s="7"/>
      <c r="AK40" s="7"/>
      <c r="AL40" s="7"/>
      <c r="AM40" s="7"/>
      <c r="AN40" s="7"/>
      <c r="AO40" s="7"/>
      <c r="AP40" s="7"/>
      <c r="AQ40" s="3"/>
      <c r="AR40" s="3"/>
    </row>
    <row r="41" spans="1:44" s="1" customFormat="1" ht="45">
      <c r="A41" s="221" t="s">
        <v>674</v>
      </c>
      <c r="B41" s="221" t="s">
        <v>1004</v>
      </c>
      <c r="C41" s="221" t="s">
        <v>660</v>
      </c>
      <c r="D41" s="221" t="s">
        <v>1005</v>
      </c>
      <c r="E41" s="221" t="s">
        <v>660</v>
      </c>
      <c r="F41" s="221" t="s">
        <v>1006</v>
      </c>
      <c r="G41" s="221" t="s">
        <v>660</v>
      </c>
      <c r="H41" s="221"/>
      <c r="I41" s="222"/>
      <c r="J41" s="222"/>
      <c r="K41" s="222"/>
      <c r="L41" s="222"/>
      <c r="M41" s="221" t="s">
        <v>1007</v>
      </c>
      <c r="N41" s="221" t="s">
        <v>660</v>
      </c>
      <c r="O41" s="3"/>
      <c r="P41" s="3"/>
      <c r="Q41" s="3"/>
      <c r="R41" s="3"/>
      <c r="S41" s="3"/>
      <c r="T41" s="3"/>
      <c r="U41" s="3"/>
      <c r="V41" s="7"/>
      <c r="W41" s="7"/>
      <c r="X41" s="7"/>
      <c r="Y41" s="7"/>
      <c r="Z41" s="7"/>
      <c r="AA41" s="7"/>
      <c r="AB41" s="7"/>
      <c r="AC41" s="7"/>
      <c r="AD41" s="7"/>
      <c r="AE41" s="7"/>
      <c r="AF41" s="7"/>
      <c r="AG41" s="7"/>
      <c r="AH41" s="7"/>
      <c r="AI41" s="7"/>
      <c r="AJ41" s="7"/>
      <c r="AK41" s="7"/>
      <c r="AL41" s="7"/>
      <c r="AM41" s="7"/>
      <c r="AN41" s="7"/>
      <c r="AO41" s="7"/>
      <c r="AP41" s="7"/>
      <c r="AQ41" s="3"/>
      <c r="AR41" s="3"/>
    </row>
    <row r="42" spans="1:44" s="1" customFormat="1" ht="15">
      <c r="A42" s="226">
        <f>V17</f>
        <v>111000000</v>
      </c>
      <c r="B42" s="226">
        <f>AB17</f>
        <v>27216666</v>
      </c>
      <c r="C42" s="220">
        <f>A42*B42/100</f>
        <v>30210499260000</v>
      </c>
      <c r="D42" s="226">
        <f>AC17</f>
        <v>27216666</v>
      </c>
      <c r="E42" s="220">
        <f>C42*D42/100</f>
        <v>8.2222906805266719E+18</v>
      </c>
      <c r="F42" s="226">
        <f>AD17</f>
        <v>0</v>
      </c>
      <c r="G42" s="220">
        <f>E42*F42/100</f>
        <v>0</v>
      </c>
      <c r="H42" s="216"/>
      <c r="I42" s="227"/>
      <c r="J42" s="227"/>
      <c r="K42" s="227"/>
      <c r="L42" s="227"/>
      <c r="M42" s="229">
        <f>AE17</f>
        <v>0</v>
      </c>
      <c r="N42" s="220">
        <f>L42*M42/100</f>
        <v>0</v>
      </c>
      <c r="O42" s="3"/>
      <c r="P42" s="3"/>
      <c r="Q42" s="3"/>
      <c r="R42" s="3"/>
      <c r="S42" s="3"/>
      <c r="T42" s="3"/>
      <c r="U42" s="3"/>
      <c r="V42" s="7"/>
      <c r="W42" s="7"/>
      <c r="X42" s="7"/>
      <c r="Y42" s="7"/>
      <c r="Z42" s="7"/>
      <c r="AA42" s="7"/>
      <c r="AB42" s="7"/>
      <c r="AC42" s="7"/>
      <c r="AD42" s="7"/>
      <c r="AE42" s="7"/>
      <c r="AF42" s="7"/>
      <c r="AG42" s="7"/>
      <c r="AH42" s="7"/>
      <c r="AI42" s="7"/>
      <c r="AJ42" s="7"/>
      <c r="AK42" s="7"/>
      <c r="AL42" s="7"/>
      <c r="AM42" s="7"/>
      <c r="AN42" s="7"/>
      <c r="AO42" s="7"/>
      <c r="AP42" s="7"/>
      <c r="AQ42" s="3"/>
      <c r="AR42" s="3"/>
    </row>
    <row r="43" spans="1:44" s="1" customFormat="1">
      <c r="A43" s="213"/>
      <c r="B43" s="213"/>
      <c r="C43" s="213"/>
      <c r="D43" s="213"/>
      <c r="E43" s="213"/>
      <c r="F43" s="213"/>
      <c r="G43" s="213"/>
      <c r="H43" s="213"/>
      <c r="I43" s="214"/>
      <c r="J43" s="214"/>
      <c r="K43" s="214"/>
      <c r="L43" s="214"/>
      <c r="M43" s="215"/>
      <c r="N43" s="213"/>
      <c r="O43" s="3"/>
      <c r="P43" s="3"/>
      <c r="Q43" s="3"/>
      <c r="R43" s="3"/>
      <c r="S43" s="3"/>
      <c r="T43" s="3"/>
      <c r="U43" s="3"/>
      <c r="V43" s="7"/>
      <c r="W43" s="7"/>
      <c r="X43" s="7"/>
      <c r="Y43" s="7"/>
      <c r="Z43" s="7"/>
      <c r="AA43" s="7"/>
      <c r="AB43" s="7"/>
      <c r="AC43" s="7"/>
      <c r="AD43" s="7"/>
      <c r="AE43" s="7"/>
      <c r="AF43" s="7"/>
      <c r="AG43" s="7"/>
      <c r="AH43" s="7"/>
      <c r="AI43" s="7"/>
      <c r="AJ43" s="7"/>
      <c r="AK43" s="7"/>
      <c r="AL43" s="7"/>
      <c r="AM43" s="7"/>
      <c r="AN43" s="7"/>
      <c r="AO43" s="7"/>
      <c r="AP43" s="7"/>
      <c r="AQ43" s="3"/>
      <c r="AR43" s="3"/>
    </row>
    <row r="44" spans="1:44" s="1" customFormat="1">
      <c r="A44" s="3"/>
      <c r="B44" s="3"/>
      <c r="C44" s="3"/>
      <c r="D44" s="3"/>
      <c r="E44" s="3"/>
      <c r="F44" s="3"/>
      <c r="G44" s="3"/>
      <c r="H44" s="3"/>
      <c r="M44" s="5"/>
      <c r="N44" s="3"/>
      <c r="O44" s="3"/>
      <c r="P44" s="3"/>
      <c r="Q44" s="3"/>
      <c r="R44" s="3"/>
      <c r="S44" s="3"/>
      <c r="T44" s="3"/>
      <c r="U44" s="3"/>
      <c r="V44" s="7"/>
      <c r="W44" s="7"/>
      <c r="X44" s="7"/>
      <c r="Y44" s="7"/>
      <c r="Z44" s="7"/>
      <c r="AA44" s="7"/>
      <c r="AB44" s="7"/>
      <c r="AC44" s="7"/>
      <c r="AD44" s="7"/>
      <c r="AE44" s="7"/>
      <c r="AF44" s="7"/>
      <c r="AG44" s="7"/>
      <c r="AH44" s="7"/>
      <c r="AI44" s="7"/>
      <c r="AJ44" s="7"/>
      <c r="AK44" s="7"/>
      <c r="AL44" s="7"/>
      <c r="AM44" s="7"/>
      <c r="AN44" s="7"/>
      <c r="AO44" s="7"/>
      <c r="AP44" s="7"/>
      <c r="AQ44" s="3"/>
      <c r="AR44" s="3"/>
    </row>
    <row r="45" spans="1:44" s="1" customFormat="1" ht="15">
      <c r="A45" s="1108" t="s">
        <v>1010</v>
      </c>
      <c r="B45" s="1108"/>
      <c r="C45" s="1108"/>
      <c r="D45" s="1108"/>
      <c r="E45" s="1108"/>
      <c r="F45" s="1108"/>
      <c r="G45" s="1108"/>
      <c r="H45" s="1108"/>
      <c r="I45" s="1108"/>
      <c r="J45" s="1108"/>
      <c r="K45" s="1108"/>
      <c r="L45" s="1108"/>
      <c r="M45" s="1108"/>
      <c r="N45" s="1108"/>
      <c r="O45" s="1108"/>
      <c r="P45" s="3"/>
      <c r="Q45" s="3"/>
      <c r="R45" s="3"/>
      <c r="S45" s="3"/>
      <c r="T45" s="3"/>
      <c r="U45" s="3"/>
      <c r="V45" s="7"/>
      <c r="W45" s="7"/>
      <c r="X45" s="7"/>
      <c r="Y45" s="7"/>
      <c r="Z45" s="7"/>
      <c r="AA45" s="7"/>
      <c r="AB45" s="7"/>
      <c r="AC45" s="7"/>
      <c r="AD45" s="7"/>
      <c r="AE45" s="7"/>
      <c r="AF45" s="7"/>
      <c r="AG45" s="7"/>
      <c r="AH45" s="7"/>
      <c r="AI45" s="7"/>
      <c r="AJ45" s="7"/>
      <c r="AK45" s="7"/>
      <c r="AL45" s="7"/>
      <c r="AM45" s="7"/>
      <c r="AN45" s="7"/>
      <c r="AO45" s="7"/>
      <c r="AP45" s="7"/>
      <c r="AQ45" s="3"/>
      <c r="AR45" s="3"/>
    </row>
    <row r="46" spans="1:44" s="1" customFormat="1" ht="90">
      <c r="A46" s="223" t="s">
        <v>996</v>
      </c>
      <c r="B46" s="224" t="s">
        <v>997</v>
      </c>
      <c r="C46" s="224" t="s">
        <v>998</v>
      </c>
      <c r="D46" s="224" t="s">
        <v>660</v>
      </c>
      <c r="E46" s="224" t="s">
        <v>999</v>
      </c>
      <c r="F46" s="224" t="s">
        <v>660</v>
      </c>
      <c r="G46" s="224" t="s">
        <v>1000</v>
      </c>
      <c r="H46" s="224" t="s">
        <v>660</v>
      </c>
      <c r="I46" s="224"/>
      <c r="J46" s="225"/>
      <c r="K46" s="225"/>
      <c r="L46" s="225"/>
      <c r="M46" s="224" t="s">
        <v>660</v>
      </c>
      <c r="N46" s="224" t="s">
        <v>1001</v>
      </c>
      <c r="O46" s="224" t="s">
        <v>660</v>
      </c>
      <c r="P46" s="3"/>
      <c r="Q46" s="3"/>
      <c r="R46" s="3"/>
      <c r="S46" s="3"/>
      <c r="T46" s="3"/>
      <c r="U46" s="3"/>
      <c r="V46" s="7"/>
      <c r="W46" s="7"/>
      <c r="X46" s="7"/>
      <c r="Y46" s="7"/>
      <c r="Z46" s="7"/>
      <c r="AA46" s="7"/>
      <c r="AB46" s="7"/>
      <c r="AC46" s="7"/>
      <c r="AD46" s="7"/>
      <c r="AE46" s="7"/>
      <c r="AF46" s="7"/>
      <c r="AG46" s="7"/>
      <c r="AH46" s="7"/>
      <c r="AI46" s="7"/>
      <c r="AJ46" s="7"/>
      <c r="AK46" s="7"/>
      <c r="AL46" s="7"/>
      <c r="AM46" s="7"/>
      <c r="AN46" s="7"/>
      <c r="AO46" s="7"/>
      <c r="AP46" s="7"/>
      <c r="AQ46" s="3"/>
      <c r="AR46" s="3"/>
    </row>
    <row r="47" spans="1:44" s="1" customFormat="1">
      <c r="A47" s="213" t="s">
        <v>1002</v>
      </c>
      <c r="B47" s="213">
        <f>N22</f>
        <v>18</v>
      </c>
      <c r="C47" s="213">
        <f>X22</f>
        <v>0</v>
      </c>
      <c r="D47" s="220">
        <f>B47*C47/100</f>
        <v>0</v>
      </c>
      <c r="E47" s="213">
        <f>Y22</f>
        <v>0</v>
      </c>
      <c r="F47" s="220">
        <f>D47*E47/100</f>
        <v>0</v>
      </c>
      <c r="G47" s="213">
        <f>Z22</f>
        <v>0</v>
      </c>
      <c r="H47" s="213"/>
      <c r="I47" s="214"/>
      <c r="J47" s="214"/>
      <c r="K47" s="214"/>
      <c r="L47" s="214"/>
      <c r="M47" s="220">
        <f>K47*L47/100</f>
        <v>0</v>
      </c>
      <c r="N47" s="213">
        <f>AA22</f>
        <v>0</v>
      </c>
      <c r="O47" s="220">
        <f>M47*N47/100</f>
        <v>0</v>
      </c>
      <c r="P47" s="3"/>
      <c r="Q47" s="3"/>
      <c r="R47" s="3"/>
      <c r="S47" s="3"/>
      <c r="T47" s="3"/>
      <c r="U47" s="3"/>
      <c r="V47" s="7"/>
      <c r="W47" s="7"/>
      <c r="X47" s="7"/>
      <c r="Y47" s="7"/>
      <c r="Z47" s="7"/>
      <c r="AA47" s="7"/>
      <c r="AB47" s="7"/>
      <c r="AC47" s="7"/>
      <c r="AD47" s="7"/>
      <c r="AE47" s="7"/>
      <c r="AF47" s="7"/>
      <c r="AG47" s="7"/>
      <c r="AH47" s="7"/>
      <c r="AI47" s="7"/>
      <c r="AJ47" s="7"/>
      <c r="AK47" s="7"/>
      <c r="AL47" s="7"/>
      <c r="AM47" s="7"/>
      <c r="AN47" s="7"/>
      <c r="AO47" s="7"/>
      <c r="AP47" s="7"/>
      <c r="AQ47" s="3"/>
      <c r="AR47" s="3"/>
    </row>
    <row r="48" spans="1:44" s="1" customFormat="1">
      <c r="A48" s="213" t="s">
        <v>93</v>
      </c>
      <c r="B48" s="213">
        <f>N23</f>
        <v>100</v>
      </c>
      <c r="C48" s="218">
        <f>X23</f>
        <v>0</v>
      </c>
      <c r="D48" s="220">
        <f>B48*C48/100</f>
        <v>0</v>
      </c>
      <c r="E48" s="213">
        <f>Y23</f>
        <v>0</v>
      </c>
      <c r="F48" s="220">
        <f>D48*E48/100</f>
        <v>0</v>
      </c>
      <c r="G48" s="213">
        <f>Z23</f>
        <v>0</v>
      </c>
      <c r="H48" s="213"/>
      <c r="I48" s="214"/>
      <c r="J48" s="214"/>
      <c r="K48" s="214"/>
      <c r="L48" s="214"/>
      <c r="M48" s="220">
        <f>K48*L48/100</f>
        <v>0</v>
      </c>
      <c r="N48" s="213">
        <f>AA23</f>
        <v>0</v>
      </c>
      <c r="O48" s="220">
        <f>M48*N48/100</f>
        <v>0</v>
      </c>
      <c r="P48" s="3"/>
      <c r="Q48" s="3"/>
      <c r="R48" s="3"/>
      <c r="S48" s="3"/>
      <c r="T48" s="3"/>
      <c r="U48" s="3"/>
      <c r="V48" s="7"/>
      <c r="W48" s="7"/>
      <c r="X48" s="7"/>
      <c r="Y48" s="7"/>
      <c r="Z48" s="7"/>
      <c r="AA48" s="7"/>
      <c r="AB48" s="7"/>
      <c r="AC48" s="7"/>
      <c r="AD48" s="7"/>
      <c r="AE48" s="7"/>
      <c r="AF48" s="7"/>
      <c r="AG48" s="7"/>
      <c r="AH48" s="7"/>
      <c r="AI48" s="7"/>
      <c r="AJ48" s="7"/>
      <c r="AK48" s="7"/>
      <c r="AL48" s="7"/>
      <c r="AM48" s="7"/>
      <c r="AN48" s="7"/>
      <c r="AO48" s="7"/>
      <c r="AP48" s="7"/>
      <c r="AQ48" s="3"/>
      <c r="AR48" s="3"/>
    </row>
    <row r="49" spans="1:44" s="1" customFormat="1">
      <c r="A49" s="3"/>
      <c r="B49" s="3"/>
      <c r="C49" s="3"/>
      <c r="D49" s="3"/>
      <c r="E49" s="3"/>
      <c r="F49" s="3"/>
      <c r="G49" s="3"/>
      <c r="H49" s="3"/>
      <c r="M49" s="5"/>
      <c r="N49" s="3"/>
      <c r="O49" s="3"/>
      <c r="P49" s="3"/>
      <c r="Q49" s="3"/>
      <c r="R49" s="3"/>
      <c r="S49" s="3"/>
      <c r="T49" s="3"/>
      <c r="U49" s="3"/>
      <c r="V49" s="7"/>
      <c r="W49" s="7"/>
      <c r="X49" s="7"/>
      <c r="Y49" s="7"/>
      <c r="Z49" s="7"/>
      <c r="AA49" s="7"/>
      <c r="AB49" s="7"/>
      <c r="AC49" s="7"/>
      <c r="AD49" s="7"/>
      <c r="AE49" s="7"/>
      <c r="AF49" s="7"/>
      <c r="AG49" s="7"/>
      <c r="AH49" s="7"/>
      <c r="AI49" s="7"/>
      <c r="AJ49" s="7"/>
      <c r="AK49" s="7"/>
      <c r="AL49" s="7"/>
      <c r="AM49" s="7"/>
      <c r="AN49" s="7"/>
      <c r="AO49" s="7"/>
      <c r="AP49" s="7"/>
      <c r="AQ49" s="3"/>
      <c r="AR49" s="3"/>
    </row>
    <row r="50" spans="1:44" s="1" customFormat="1" ht="15">
      <c r="A50" s="1109" t="s">
        <v>1011</v>
      </c>
      <c r="B50" s="1109"/>
      <c r="C50" s="1109"/>
      <c r="D50" s="1109"/>
      <c r="E50" s="1109"/>
      <c r="F50" s="1109"/>
      <c r="G50" s="1109"/>
      <c r="H50" s="1109"/>
      <c r="I50" s="1109"/>
      <c r="J50" s="1109"/>
      <c r="K50" s="1109"/>
      <c r="L50" s="1109"/>
      <c r="M50" s="1109"/>
      <c r="N50" s="1109"/>
      <c r="O50" s="3"/>
      <c r="P50" s="3"/>
      <c r="Q50" s="3"/>
      <c r="R50" s="3"/>
      <c r="S50" s="3"/>
      <c r="T50" s="3"/>
      <c r="U50" s="3"/>
      <c r="V50" s="7"/>
      <c r="W50" s="7"/>
      <c r="X50" s="7"/>
      <c r="Y50" s="7"/>
      <c r="Z50" s="7"/>
      <c r="AA50" s="7"/>
      <c r="AB50" s="7"/>
      <c r="AC50" s="7"/>
      <c r="AD50" s="7"/>
      <c r="AE50" s="7"/>
      <c r="AF50" s="7"/>
      <c r="AG50" s="7"/>
      <c r="AH50" s="7"/>
      <c r="AI50" s="7"/>
      <c r="AJ50" s="7"/>
      <c r="AK50" s="7"/>
      <c r="AL50" s="7"/>
      <c r="AM50" s="7"/>
      <c r="AN50" s="7"/>
      <c r="AO50" s="7"/>
      <c r="AP50" s="7"/>
      <c r="AQ50" s="3"/>
      <c r="AR50" s="3"/>
    </row>
    <row r="51" spans="1:44" s="1" customFormat="1" ht="45">
      <c r="A51" s="221" t="s">
        <v>674</v>
      </c>
      <c r="B51" s="221" t="s">
        <v>1004</v>
      </c>
      <c r="C51" s="221" t="s">
        <v>660</v>
      </c>
      <c r="D51" s="221" t="s">
        <v>1005</v>
      </c>
      <c r="E51" s="221" t="s">
        <v>660</v>
      </c>
      <c r="F51" s="221" t="s">
        <v>1006</v>
      </c>
      <c r="G51" s="221" t="s">
        <v>660</v>
      </c>
      <c r="H51" s="221"/>
      <c r="I51" s="222"/>
      <c r="J51" s="222"/>
      <c r="K51" s="222"/>
      <c r="L51" s="222"/>
      <c r="M51" s="221" t="s">
        <v>1007</v>
      </c>
      <c r="N51" s="221" t="s">
        <v>660</v>
      </c>
      <c r="O51" s="3"/>
      <c r="P51" s="3"/>
      <c r="Q51" s="3"/>
      <c r="R51" s="3"/>
      <c r="S51" s="3"/>
      <c r="T51" s="3"/>
      <c r="U51" s="3"/>
      <c r="V51" s="7"/>
      <c r="W51" s="7"/>
      <c r="X51" s="7"/>
      <c r="Y51" s="7"/>
      <c r="Z51" s="7"/>
      <c r="AA51" s="7"/>
      <c r="AB51" s="7"/>
      <c r="AC51" s="7"/>
      <c r="AD51" s="7"/>
      <c r="AE51" s="7"/>
      <c r="AF51" s="7"/>
      <c r="AG51" s="7"/>
      <c r="AH51" s="7"/>
      <c r="AI51" s="7"/>
      <c r="AJ51" s="7"/>
      <c r="AK51" s="7"/>
      <c r="AL51" s="7"/>
      <c r="AM51" s="7"/>
      <c r="AN51" s="7"/>
      <c r="AO51" s="7"/>
      <c r="AP51" s="7"/>
      <c r="AQ51" s="3"/>
      <c r="AR51" s="3"/>
    </row>
    <row r="52" spans="1:44">
      <c r="A52" s="217">
        <f>V22</f>
        <v>111000000</v>
      </c>
      <c r="B52" s="217">
        <f>AB22</f>
        <v>25561666</v>
      </c>
      <c r="C52" s="220">
        <f>A52*B52/100</f>
        <v>28373449260000</v>
      </c>
      <c r="D52" s="217">
        <f>AC22</f>
        <v>25561666</v>
      </c>
      <c r="E52" s="220">
        <f>C52*D52/100</f>
        <v>7.2527263325206712E+18</v>
      </c>
      <c r="F52" s="217">
        <f>AD22</f>
        <v>0</v>
      </c>
      <c r="G52" s="220">
        <f>E52*F52/100</f>
        <v>0</v>
      </c>
      <c r="H52" s="213"/>
      <c r="I52" s="214"/>
      <c r="J52" s="214"/>
      <c r="K52" s="214"/>
      <c r="L52" s="214"/>
      <c r="M52" s="228">
        <f>AE22</f>
        <v>0</v>
      </c>
      <c r="N52" s="220">
        <f>L52*M52/100</f>
        <v>0</v>
      </c>
    </row>
    <row r="53" spans="1:44">
      <c r="A53" s="213"/>
      <c r="B53" s="213"/>
      <c r="C53" s="213"/>
      <c r="D53" s="213"/>
      <c r="E53" s="213"/>
      <c r="F53" s="213"/>
      <c r="G53" s="213"/>
      <c r="H53" s="213"/>
      <c r="I53" s="214"/>
      <c r="J53" s="214"/>
      <c r="K53" s="214"/>
      <c r="L53" s="214"/>
      <c r="M53" s="215"/>
      <c r="N53" s="213"/>
    </row>
    <row r="57" spans="1:44" ht="15">
      <c r="A57" s="1108" t="s">
        <v>1012</v>
      </c>
      <c r="B57" s="1108"/>
      <c r="C57" s="1108"/>
      <c r="D57" s="1108"/>
      <c r="E57" s="1108"/>
      <c r="F57" s="1108"/>
      <c r="G57" s="1108"/>
      <c r="H57" s="1108"/>
      <c r="I57" s="1108"/>
      <c r="J57" s="1108"/>
      <c r="K57" s="1108"/>
      <c r="L57" s="1108"/>
      <c r="M57" s="1108"/>
      <c r="N57" s="1108"/>
      <c r="O57" s="1108"/>
    </row>
    <row r="58" spans="1:44" ht="90">
      <c r="A58" s="223" t="s">
        <v>996</v>
      </c>
      <c r="B58" s="224" t="s">
        <v>997</v>
      </c>
      <c r="C58" s="224" t="s">
        <v>998</v>
      </c>
      <c r="D58" s="224" t="s">
        <v>660</v>
      </c>
      <c r="E58" s="224" t="s">
        <v>999</v>
      </c>
      <c r="F58" s="224" t="s">
        <v>660</v>
      </c>
      <c r="G58" s="224" t="s">
        <v>1000</v>
      </c>
      <c r="H58" s="224" t="s">
        <v>660</v>
      </c>
      <c r="I58" s="224"/>
      <c r="J58" s="225"/>
      <c r="K58" s="225"/>
      <c r="L58" s="225"/>
      <c r="M58" s="224" t="s">
        <v>660</v>
      </c>
      <c r="N58" s="224" t="s">
        <v>1001</v>
      </c>
      <c r="O58" s="224" t="s">
        <v>660</v>
      </c>
    </row>
    <row r="59" spans="1:44">
      <c r="A59" s="213" t="s">
        <v>1002</v>
      </c>
      <c r="B59" s="213">
        <f>B47+B37+B27</f>
        <v>51</v>
      </c>
      <c r="C59" s="213">
        <f>C47+C37+C27</f>
        <v>0</v>
      </c>
      <c r="D59" s="220">
        <f>B59*C59/100</f>
        <v>0</v>
      </c>
      <c r="E59" s="213">
        <f>E47+E37+E27</f>
        <v>0</v>
      </c>
      <c r="F59" s="220">
        <f>D59*E59/100</f>
        <v>0</v>
      </c>
      <c r="G59" s="213">
        <f>G47+G37+G27</f>
        <v>0</v>
      </c>
      <c r="H59" s="213"/>
      <c r="I59" s="214"/>
      <c r="J59" s="214"/>
      <c r="K59" s="214"/>
      <c r="L59" s="214"/>
      <c r="M59" s="220">
        <f>K59*L59/100</f>
        <v>0</v>
      </c>
      <c r="N59" s="213">
        <f>N47+N37+N27</f>
        <v>0</v>
      </c>
      <c r="O59" s="220">
        <f>M59*N59/100</f>
        <v>0</v>
      </c>
    </row>
    <row r="60" spans="1:44">
      <c r="A60" s="213" t="s">
        <v>93</v>
      </c>
      <c r="B60" s="220">
        <v>1</v>
      </c>
      <c r="C60" s="218">
        <f>C48</f>
        <v>0</v>
      </c>
      <c r="D60" s="220">
        <f>B60*C60/100</f>
        <v>0</v>
      </c>
      <c r="E60" s="213">
        <f>E48</f>
        <v>0</v>
      </c>
      <c r="F60" s="220">
        <f>D60*E60/100</f>
        <v>0</v>
      </c>
      <c r="G60" s="213">
        <f>G48</f>
        <v>0</v>
      </c>
      <c r="H60" s="213"/>
      <c r="I60" s="214"/>
      <c r="J60" s="214"/>
      <c r="K60" s="214"/>
      <c r="L60" s="214"/>
      <c r="M60" s="220">
        <f>K60*L60/100</f>
        <v>0</v>
      </c>
      <c r="N60" s="213">
        <f>N48</f>
        <v>0</v>
      </c>
      <c r="O60" s="220">
        <f>M60*N60/100</f>
        <v>0</v>
      </c>
    </row>
    <row r="61" spans="1:44">
      <c r="I61" s="1"/>
      <c r="J61" s="1"/>
      <c r="K61" s="1"/>
      <c r="L61" s="1"/>
    </row>
    <row r="62" spans="1:44" ht="15">
      <c r="A62" s="1109" t="s">
        <v>1011</v>
      </c>
      <c r="B62" s="1109"/>
      <c r="C62" s="1109"/>
      <c r="D62" s="1109"/>
      <c r="E62" s="1109"/>
      <c r="F62" s="1109"/>
      <c r="G62" s="1109"/>
      <c r="H62" s="1109"/>
      <c r="I62" s="1109"/>
      <c r="J62" s="1109"/>
      <c r="K62" s="1109"/>
      <c r="L62" s="1109"/>
      <c r="M62" s="1109"/>
      <c r="N62" s="1109"/>
    </row>
    <row r="63" spans="1:44" ht="45">
      <c r="A63" s="221" t="s">
        <v>674</v>
      </c>
      <c r="B63" s="221" t="s">
        <v>1004</v>
      </c>
      <c r="C63" s="221" t="s">
        <v>660</v>
      </c>
      <c r="D63" s="221" t="s">
        <v>1005</v>
      </c>
      <c r="E63" s="221" t="s">
        <v>660</v>
      </c>
      <c r="F63" s="221" t="s">
        <v>1006</v>
      </c>
      <c r="G63" s="221" t="s">
        <v>660</v>
      </c>
      <c r="H63" s="221"/>
      <c r="I63" s="222"/>
      <c r="J63" s="222"/>
      <c r="K63" s="222"/>
      <c r="L63" s="222"/>
      <c r="M63" s="221" t="s">
        <v>1007</v>
      </c>
      <c r="N63" s="221" t="s">
        <v>660</v>
      </c>
    </row>
    <row r="64" spans="1:44">
      <c r="A64" s="217">
        <f>A52+A42+A32</f>
        <v>768943571</v>
      </c>
      <c r="B64" s="217">
        <f>B52+B42+B32</f>
        <v>173840008</v>
      </c>
      <c r="C64" s="220">
        <f>A64*B64/100</f>
        <v>1336731565341885.8</v>
      </c>
      <c r="D64" s="217">
        <f>D52+D42+D32</f>
        <v>173840008</v>
      </c>
      <c r="E64" s="220">
        <f>C64*D64/100</f>
        <v>2.3237742601288596E+21</v>
      </c>
      <c r="F64" s="217">
        <f>F52+F42+F3</f>
        <v>0</v>
      </c>
      <c r="G64" s="220">
        <f>E64*F64/100</f>
        <v>0</v>
      </c>
      <c r="H64" s="213"/>
      <c r="I64" s="214"/>
      <c r="J64" s="214"/>
      <c r="K64" s="214"/>
      <c r="L64" s="214"/>
      <c r="M64" s="228">
        <f>M52+M42+M32</f>
        <v>0</v>
      </c>
      <c r="N64" s="220">
        <f>L64*M64/100</f>
        <v>0</v>
      </c>
    </row>
    <row r="65" spans="1:14">
      <c r="A65" s="213"/>
      <c r="B65" s="213"/>
      <c r="C65" s="213"/>
      <c r="D65" s="213"/>
      <c r="E65" s="213"/>
      <c r="F65" s="213"/>
      <c r="G65" s="213"/>
      <c r="H65" s="213"/>
      <c r="I65" s="214"/>
      <c r="J65" s="214"/>
      <c r="K65" s="214"/>
      <c r="L65" s="214"/>
      <c r="M65" s="215"/>
      <c r="N65" s="213"/>
    </row>
  </sheetData>
  <mergeCells count="88">
    <mergeCell ref="AG22:AG23"/>
    <mergeCell ref="A57:O57"/>
    <mergeCell ref="A62:N62"/>
    <mergeCell ref="A11:M11"/>
    <mergeCell ref="A17:M17"/>
    <mergeCell ref="A22:M23"/>
    <mergeCell ref="A45:O45"/>
    <mergeCell ref="A50:N50"/>
    <mergeCell ref="A40:N40"/>
    <mergeCell ref="D12:D16"/>
    <mergeCell ref="E12:E16"/>
    <mergeCell ref="AB22:AB23"/>
    <mergeCell ref="AC22:AC23"/>
    <mergeCell ref="AD22:AD23"/>
    <mergeCell ref="AE22:AE23"/>
    <mergeCell ref="AF22:AF23"/>
    <mergeCell ref="G8:G9"/>
    <mergeCell ref="H8:H9"/>
    <mergeCell ref="I8:I9"/>
    <mergeCell ref="J8:J9"/>
    <mergeCell ref="B12:B16"/>
    <mergeCell ref="C12:C16"/>
    <mergeCell ref="A25:O25"/>
    <mergeCell ref="A30:N30"/>
    <mergeCell ref="A35:O35"/>
    <mergeCell ref="V22:V23"/>
    <mergeCell ref="W22:W23"/>
    <mergeCell ref="AS18:AS20"/>
    <mergeCell ref="AQ20:AQ21"/>
    <mergeCell ref="AR20:AR21"/>
    <mergeCell ref="J18:J19"/>
    <mergeCell ref="K18:K19"/>
    <mergeCell ref="L18:L19"/>
    <mergeCell ref="T18:T19"/>
    <mergeCell ref="U18:U19"/>
    <mergeCell ref="V18:V21"/>
    <mergeCell ref="W18:W21"/>
    <mergeCell ref="AQ18:AQ19"/>
    <mergeCell ref="AR18:AR19"/>
    <mergeCell ref="AS12:AS16"/>
    <mergeCell ref="A18:A20"/>
    <mergeCell ref="B18:B21"/>
    <mergeCell ref="D18:D20"/>
    <mergeCell ref="E18:E20"/>
    <mergeCell ref="F18:F20"/>
    <mergeCell ref="G18:G19"/>
    <mergeCell ref="H18:H19"/>
    <mergeCell ref="I18:I19"/>
    <mergeCell ref="F12:F16"/>
    <mergeCell ref="K12:K16"/>
    <mergeCell ref="L12:L16"/>
    <mergeCell ref="U12:U16"/>
    <mergeCell ref="V12:V16"/>
    <mergeCell ref="W12:W16"/>
    <mergeCell ref="A12:A16"/>
    <mergeCell ref="K7:K10"/>
    <mergeCell ref="L7:L10"/>
    <mergeCell ref="U7:U8"/>
    <mergeCell ref="V7:V8"/>
    <mergeCell ref="W7:W8"/>
    <mergeCell ref="AS7:AS10"/>
    <mergeCell ref="AR5:AR6"/>
    <mergeCell ref="A7:A10"/>
    <mergeCell ref="B7:B10"/>
    <mergeCell ref="C7:C8"/>
    <mergeCell ref="D7:D8"/>
    <mergeCell ref="E7:E8"/>
    <mergeCell ref="F7:F10"/>
    <mergeCell ref="Q5:Q6"/>
    <mergeCell ref="R5:R6"/>
    <mergeCell ref="S5:S6"/>
    <mergeCell ref="T5:W5"/>
    <mergeCell ref="AQ5:AQ6"/>
    <mergeCell ref="A5:B5"/>
    <mergeCell ref="C5:E5"/>
    <mergeCell ref="G5:J5"/>
    <mergeCell ref="P5:P6"/>
    <mergeCell ref="A1:AR1"/>
    <mergeCell ref="AT1:AX1"/>
    <mergeCell ref="A2:AR2"/>
    <mergeCell ref="A4:AR4"/>
    <mergeCell ref="K5:K6"/>
    <mergeCell ref="L5:L6"/>
    <mergeCell ref="M5:M6"/>
    <mergeCell ref="N5:N6"/>
    <mergeCell ref="O5:O6"/>
    <mergeCell ref="X5:AP5"/>
    <mergeCell ref="B3:AR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EB24-02E6-48B2-8F8B-E1AD72FAC8F9}">
  <dimension ref="A1:AX91"/>
  <sheetViews>
    <sheetView topLeftCell="S1" zoomScale="70" zoomScaleNormal="70" workbookViewId="0">
      <selection activeCell="W47" sqref="W47"/>
    </sheetView>
  </sheetViews>
  <sheetFormatPr defaultColWidth="11.375" defaultRowHeight="14.25"/>
  <cols>
    <col min="1" max="1" width="29.25" style="3" customWidth="1"/>
    <col min="2" max="2" width="26.875" style="3" customWidth="1"/>
    <col min="3" max="3" width="32.125" style="3" customWidth="1"/>
    <col min="4" max="4" width="30.375" style="3" customWidth="1"/>
    <col min="5" max="5" width="18.375" style="3" customWidth="1"/>
    <col min="6" max="6" width="20.25" style="3" customWidth="1"/>
    <col min="7" max="7" width="37.375" style="3" customWidth="1"/>
    <col min="8" max="8" width="15" style="3" hidden="1" customWidth="1"/>
    <col min="9" max="10" width="12.75" style="2" hidden="1" customWidth="1"/>
    <col min="11" max="11" width="38.375" style="2" hidden="1" customWidth="1"/>
    <col min="12" max="12" width="57.375" style="2" hidden="1" customWidth="1"/>
    <col min="13" max="13" width="38.125" style="5" customWidth="1"/>
    <col min="14" max="15" width="15" style="3" customWidth="1"/>
    <col min="16" max="16" width="16.25" style="3" customWidth="1"/>
    <col min="17" max="17" width="16.75" style="3" customWidth="1"/>
    <col min="18" max="18" width="16.875" style="3" customWidth="1"/>
    <col min="19" max="19" width="18" style="3" customWidth="1"/>
    <col min="20" max="20" width="20.125" style="3" customWidth="1"/>
    <col min="21" max="21" width="21.375" style="3" customWidth="1"/>
    <col min="22" max="23" width="27.75" style="7" customWidth="1"/>
    <col min="24" max="24" width="25.375" style="7" bestFit="1" customWidth="1"/>
    <col min="25" max="28" width="25.375" style="7" hidden="1" customWidth="1"/>
    <col min="29" max="34" width="25.375" style="7" customWidth="1"/>
    <col min="35" max="37" width="34.25" style="7" customWidth="1"/>
    <col min="38"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0" s="1" customFormat="1" ht="30.75" customHeight="1" thickTop="1" thickBot="1">
      <c r="A1" s="1094" t="s">
        <v>969</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9"/>
      <c r="AT1" s="1095" t="s">
        <v>1</v>
      </c>
      <c r="AU1" s="1095"/>
      <c r="AV1" s="1095"/>
      <c r="AW1" s="1095"/>
      <c r="AX1" s="1096"/>
    </row>
    <row r="2" spans="1:50" s="1" customFormat="1" ht="45" customHeight="1" thickTop="1" thickBot="1">
      <c r="A2" s="836" t="s">
        <v>970</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19"/>
      <c r="AT2" s="206" t="s">
        <v>3</v>
      </c>
      <c r="AU2" s="18" t="s">
        <v>4</v>
      </c>
      <c r="AV2" s="16" t="s">
        <v>5</v>
      </c>
      <c r="AW2" s="16" t="s">
        <v>6</v>
      </c>
      <c r="AX2" s="16" t="s">
        <v>7</v>
      </c>
    </row>
    <row r="3" spans="1:50" s="1" customFormat="1" ht="25.5" customHeight="1" thickTop="1" thickBot="1">
      <c r="A3" s="873" t="s">
        <v>116</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19"/>
      <c r="AT3" s="1280"/>
      <c r="AU3" s="1258"/>
      <c r="AV3" s="1259"/>
      <c r="AW3" s="1260"/>
      <c r="AX3" s="17"/>
    </row>
    <row r="4" spans="1:50" s="1" customFormat="1" ht="27.95" customHeight="1" thickTop="1" thickBot="1">
      <c r="A4" s="837" t="s">
        <v>1013</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19"/>
      <c r="AT4" s="1280"/>
      <c r="AU4" s="1258"/>
      <c r="AV4" s="1259"/>
      <c r="AW4" s="1260"/>
      <c r="AX4" s="17"/>
    </row>
    <row r="5" spans="1:50" s="1" customFormat="1" ht="27.95" customHeight="1" thickTop="1" thickBot="1">
      <c r="A5" s="1106"/>
      <c r="B5" s="1106"/>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c r="AG5" s="1106"/>
      <c r="AH5" s="1106"/>
      <c r="AI5" s="1106"/>
      <c r="AJ5" s="1106"/>
      <c r="AK5" s="1106"/>
      <c r="AL5" s="1106"/>
      <c r="AM5" s="1106"/>
      <c r="AN5" s="1106"/>
      <c r="AO5" s="1106"/>
      <c r="AP5" s="1106"/>
      <c r="AQ5" s="1106"/>
      <c r="AR5" s="1106"/>
      <c r="AS5" s="132"/>
      <c r="AT5" s="1280"/>
      <c r="AU5" s="1258"/>
      <c r="AV5" s="1259"/>
      <c r="AW5" s="1260"/>
      <c r="AX5" s="17"/>
    </row>
    <row r="6" spans="1:50" ht="27.95" customHeight="1" thickTop="1" thickBot="1">
      <c r="A6" s="1106"/>
      <c r="B6" s="1106"/>
      <c r="C6" s="1106" t="s">
        <v>10</v>
      </c>
      <c r="D6" s="1106"/>
      <c r="E6" s="1106"/>
      <c r="F6" s="278"/>
      <c r="G6" s="1106" t="s">
        <v>11</v>
      </c>
      <c r="H6" s="1106"/>
      <c r="I6" s="1106"/>
      <c r="J6" s="1106"/>
      <c r="K6" s="1097" t="s">
        <v>12</v>
      </c>
      <c r="L6" s="1097" t="s">
        <v>13</v>
      </c>
      <c r="M6" s="1098" t="s">
        <v>14</v>
      </c>
      <c r="N6" s="1093" t="s">
        <v>971</v>
      </c>
      <c r="O6" s="1093" t="s">
        <v>15</v>
      </c>
      <c r="P6" s="1093" t="s">
        <v>17</v>
      </c>
      <c r="Q6" s="1093" t="s">
        <v>18</v>
      </c>
      <c r="R6" s="1093" t="s">
        <v>19</v>
      </c>
      <c r="S6" s="1093" t="s">
        <v>20</v>
      </c>
      <c r="T6" s="1105" t="s">
        <v>21</v>
      </c>
      <c r="U6" s="1105"/>
      <c r="V6" s="1105"/>
      <c r="W6" s="1105"/>
      <c r="X6" s="1105"/>
      <c r="Y6" s="1112" t="s">
        <v>22</v>
      </c>
      <c r="Z6" s="1112"/>
      <c r="AA6" s="1112"/>
      <c r="AB6" s="1112"/>
      <c r="AC6" s="1112"/>
      <c r="AD6" s="1112"/>
      <c r="AE6" s="1112"/>
      <c r="AF6" s="1112"/>
      <c r="AG6" s="1112"/>
      <c r="AH6" s="1112"/>
      <c r="AI6" s="1112"/>
      <c r="AJ6" s="1112"/>
      <c r="AK6" s="1112"/>
      <c r="AL6" s="1112"/>
      <c r="AM6" s="1112"/>
      <c r="AN6" s="1112"/>
      <c r="AO6" s="1112"/>
      <c r="AP6" s="1112"/>
      <c r="AQ6" s="239" t="s">
        <v>23</v>
      </c>
      <c r="AR6" s="233" t="s">
        <v>24</v>
      </c>
      <c r="AS6" s="133"/>
      <c r="AT6" s="18" t="s">
        <v>25</v>
      </c>
      <c r="AU6" s="15" t="s">
        <v>26</v>
      </c>
      <c r="AV6" s="16" t="s">
        <v>27</v>
      </c>
      <c r="AW6" s="16" t="s">
        <v>28</v>
      </c>
      <c r="AX6" s="16" t="s">
        <v>29</v>
      </c>
    </row>
    <row r="7" spans="1:50" ht="68.25" customHeight="1" thickTop="1">
      <c r="A7" s="233" t="s">
        <v>32</v>
      </c>
      <c r="B7" s="233" t="s">
        <v>33</v>
      </c>
      <c r="C7" s="233" t="s">
        <v>34</v>
      </c>
      <c r="D7" s="233" t="s">
        <v>35</v>
      </c>
      <c r="E7" s="233" t="s">
        <v>972</v>
      </c>
      <c r="F7" s="233" t="s">
        <v>38</v>
      </c>
      <c r="G7" s="234" t="s">
        <v>39</v>
      </c>
      <c r="H7" s="233" t="s">
        <v>35</v>
      </c>
      <c r="I7" s="233" t="s">
        <v>36</v>
      </c>
      <c r="J7" s="233" t="s">
        <v>972</v>
      </c>
      <c r="K7" s="1097"/>
      <c r="L7" s="1097"/>
      <c r="M7" s="1098"/>
      <c r="N7" s="1093"/>
      <c r="O7" s="1093"/>
      <c r="P7" s="1093"/>
      <c r="Q7" s="1093"/>
      <c r="R7" s="1093"/>
      <c r="S7" s="1093"/>
      <c r="T7" s="233" t="s">
        <v>41</v>
      </c>
      <c r="U7" s="233" t="s">
        <v>42</v>
      </c>
      <c r="V7" s="205" t="s">
        <v>43</v>
      </c>
      <c r="W7" s="205" t="s">
        <v>1014</v>
      </c>
      <c r="X7" s="205" t="s">
        <v>44</v>
      </c>
      <c r="Y7" s="239" t="s">
        <v>45</v>
      </c>
      <c r="Z7" s="239" t="s">
        <v>46</v>
      </c>
      <c r="AA7" s="239" t="s">
        <v>47</v>
      </c>
      <c r="AB7" s="239" t="s">
        <v>48</v>
      </c>
      <c r="AC7" s="239" t="s">
        <v>49</v>
      </c>
      <c r="AD7" s="239" t="s">
        <v>50</v>
      </c>
      <c r="AE7" s="239" t="s">
        <v>51</v>
      </c>
      <c r="AF7" s="239" t="s">
        <v>52</v>
      </c>
      <c r="AG7" s="239" t="s">
        <v>53</v>
      </c>
      <c r="AH7" s="239" t="s">
        <v>54</v>
      </c>
      <c r="AI7" s="239" t="s">
        <v>55</v>
      </c>
      <c r="AJ7" s="239" t="s">
        <v>56</v>
      </c>
      <c r="AK7" s="239" t="s">
        <v>58</v>
      </c>
      <c r="AL7" s="239" t="s">
        <v>59</v>
      </c>
      <c r="AM7" s="239" t="s">
        <v>60</v>
      </c>
      <c r="AN7" s="239" t="s">
        <v>61</v>
      </c>
      <c r="AO7" s="239" t="s">
        <v>62</v>
      </c>
      <c r="AP7" s="239" t="s">
        <v>63</v>
      </c>
      <c r="AQ7" s="239"/>
      <c r="AR7" s="233" t="s">
        <v>24</v>
      </c>
      <c r="AS7" s="133"/>
    </row>
    <row r="8" spans="1:50" s="1" customFormat="1" ht="120.75" customHeight="1">
      <c r="A8" s="1114" t="s">
        <v>118</v>
      </c>
      <c r="B8" s="1114" t="s">
        <v>119</v>
      </c>
      <c r="C8" s="1114" t="s">
        <v>120</v>
      </c>
      <c r="D8" s="1114" t="s">
        <v>68</v>
      </c>
      <c r="E8" s="1114">
        <v>20</v>
      </c>
      <c r="F8" s="1114" t="s">
        <v>121</v>
      </c>
      <c r="G8" s="1114" t="s">
        <v>122</v>
      </c>
      <c r="H8" s="1114" t="s">
        <v>93</v>
      </c>
      <c r="I8" s="1113">
        <v>83</v>
      </c>
      <c r="J8" s="1113">
        <v>85</v>
      </c>
      <c r="K8" s="1113"/>
      <c r="L8" s="1113" t="s">
        <v>123</v>
      </c>
      <c r="M8" s="156" t="s">
        <v>762</v>
      </c>
      <c r="N8" s="39">
        <v>80</v>
      </c>
      <c r="O8" s="272" t="s">
        <v>98</v>
      </c>
      <c r="P8" s="39">
        <v>20</v>
      </c>
      <c r="Q8" s="39">
        <v>20</v>
      </c>
      <c r="R8" s="39">
        <v>20</v>
      </c>
      <c r="S8" s="39">
        <v>20</v>
      </c>
      <c r="T8" s="1117" t="s">
        <v>1015</v>
      </c>
      <c r="U8" s="1114"/>
      <c r="V8" s="1116">
        <v>318985920</v>
      </c>
      <c r="W8" s="42"/>
      <c r="X8" s="1116">
        <f t="shared" ref="X8:X21" si="0">V8</f>
        <v>318985920</v>
      </c>
      <c r="Y8" s="239"/>
      <c r="Z8" s="239"/>
      <c r="AA8" s="239"/>
      <c r="AB8" s="239"/>
      <c r="AC8" s="239">
        <v>96381379</v>
      </c>
      <c r="AD8" s="239">
        <v>39069116</v>
      </c>
      <c r="AE8" s="239"/>
      <c r="AF8" s="239"/>
      <c r="AG8" s="239">
        <f>+AC8+AD8+AE8+AF8</f>
        <v>135450495</v>
      </c>
      <c r="AH8" s="1119">
        <f>+(AG8+AG9)/X8</f>
        <v>0.84925688883070449</v>
      </c>
      <c r="AI8" s="239"/>
      <c r="AJ8" s="239"/>
      <c r="AK8" s="239"/>
      <c r="AL8" s="239"/>
      <c r="AM8" s="239"/>
      <c r="AN8" s="239"/>
      <c r="AO8" s="239"/>
      <c r="AP8" s="239"/>
      <c r="AQ8" s="239" t="s">
        <v>126</v>
      </c>
      <c r="AR8" s="239" t="s">
        <v>126</v>
      </c>
      <c r="AS8" s="1100" t="s">
        <v>1016</v>
      </c>
    </row>
    <row r="9" spans="1:50" s="1" customFormat="1" ht="120.75" customHeight="1">
      <c r="A9" s="1114"/>
      <c r="B9" s="1114"/>
      <c r="C9" s="1114"/>
      <c r="D9" s="1114"/>
      <c r="E9" s="1114"/>
      <c r="F9" s="1114"/>
      <c r="G9" s="1114"/>
      <c r="H9" s="1114"/>
      <c r="I9" s="1113"/>
      <c r="J9" s="1113"/>
      <c r="K9" s="1113"/>
      <c r="L9" s="1113"/>
      <c r="M9" s="156" t="s">
        <v>1017</v>
      </c>
      <c r="N9" s="39">
        <v>10</v>
      </c>
      <c r="O9" s="272" t="s">
        <v>98</v>
      </c>
      <c r="P9" s="39">
        <v>2</v>
      </c>
      <c r="Q9" s="39">
        <v>2</v>
      </c>
      <c r="R9" s="39">
        <v>2</v>
      </c>
      <c r="S9" s="39">
        <v>2</v>
      </c>
      <c r="T9" s="1117"/>
      <c r="U9" s="1114"/>
      <c r="V9" s="1116"/>
      <c r="W9" s="42"/>
      <c r="X9" s="1116"/>
      <c r="Y9" s="239"/>
      <c r="Z9" s="239"/>
      <c r="AA9" s="239"/>
      <c r="AB9" s="239"/>
      <c r="AC9" s="239">
        <v>96381379</v>
      </c>
      <c r="AD9" s="239">
        <v>39069116</v>
      </c>
      <c r="AE9" s="239"/>
      <c r="AF9" s="239"/>
      <c r="AG9" s="239">
        <f t="shared" ref="AG9:AG25" si="1">+AC9+AD9+AE9+AF9</f>
        <v>135450495</v>
      </c>
      <c r="AH9" s="1120"/>
      <c r="AI9" s="239"/>
      <c r="AJ9" s="239"/>
      <c r="AK9" s="239"/>
      <c r="AL9" s="239"/>
      <c r="AM9" s="239"/>
      <c r="AN9" s="239"/>
      <c r="AO9" s="239"/>
      <c r="AP9" s="239"/>
      <c r="AQ9" s="239"/>
      <c r="AR9" s="239"/>
      <c r="AS9" s="1101"/>
    </row>
    <row r="10" spans="1:50" s="1" customFormat="1" ht="120.75" customHeight="1">
      <c r="A10" s="1114"/>
      <c r="B10" s="1114"/>
      <c r="C10" s="1114" t="s">
        <v>132</v>
      </c>
      <c r="D10" s="1114" t="s">
        <v>133</v>
      </c>
      <c r="E10" s="1114">
        <v>0</v>
      </c>
      <c r="F10" s="1114"/>
      <c r="G10" s="1114" t="s">
        <v>134</v>
      </c>
      <c r="H10" s="1114" t="s">
        <v>135</v>
      </c>
      <c r="I10" s="1113">
        <v>69.7</v>
      </c>
      <c r="J10" s="1113">
        <v>69.7</v>
      </c>
      <c r="K10" s="1113"/>
      <c r="L10" s="1113" t="s">
        <v>136</v>
      </c>
      <c r="M10" s="156" t="s">
        <v>1018</v>
      </c>
      <c r="N10" s="39">
        <v>144</v>
      </c>
      <c r="O10" s="39" t="s">
        <v>86</v>
      </c>
      <c r="P10" s="39">
        <v>36</v>
      </c>
      <c r="Q10" s="39">
        <v>36</v>
      </c>
      <c r="R10" s="39">
        <v>36</v>
      </c>
      <c r="S10" s="39">
        <v>36</v>
      </c>
      <c r="T10" s="45"/>
      <c r="U10" s="39"/>
      <c r="V10" s="1116">
        <v>125772872.90000001</v>
      </c>
      <c r="W10" s="42"/>
      <c r="X10" s="1116">
        <f>V10</f>
        <v>125772872.90000001</v>
      </c>
      <c r="Y10" s="239"/>
      <c r="Z10" s="239"/>
      <c r="AA10" s="239"/>
      <c r="AB10" s="239"/>
      <c r="AC10" s="239">
        <v>42353021</v>
      </c>
      <c r="AD10" s="239">
        <v>31146501</v>
      </c>
      <c r="AE10" s="239"/>
      <c r="AF10" s="239"/>
      <c r="AG10" s="239">
        <f t="shared" si="1"/>
        <v>73499522</v>
      </c>
      <c r="AH10" s="1119">
        <f>+(AG10+AG11)/X10</f>
        <v>1.1687658921242625</v>
      </c>
      <c r="AI10" s="239"/>
      <c r="AJ10" s="239"/>
      <c r="AK10" s="239"/>
      <c r="AL10" s="239"/>
      <c r="AM10" s="239"/>
      <c r="AN10" s="239"/>
      <c r="AO10" s="239"/>
      <c r="AP10" s="239"/>
      <c r="AQ10" s="239"/>
      <c r="AR10" s="239"/>
      <c r="AS10" s="1101"/>
    </row>
    <row r="11" spans="1:50" s="1" customFormat="1" ht="107.25" customHeight="1">
      <c r="A11" s="1114"/>
      <c r="B11" s="1114"/>
      <c r="C11" s="1114"/>
      <c r="D11" s="1114"/>
      <c r="E11" s="1114"/>
      <c r="F11" s="1114"/>
      <c r="G11" s="1114"/>
      <c r="H11" s="1114"/>
      <c r="I11" s="1113"/>
      <c r="J11" s="1113"/>
      <c r="K11" s="1113"/>
      <c r="L11" s="1113"/>
      <c r="M11" s="39" t="s">
        <v>1019</v>
      </c>
      <c r="N11" s="39">
        <v>12</v>
      </c>
      <c r="O11" s="39" t="s">
        <v>86</v>
      </c>
      <c r="P11" s="39">
        <v>3</v>
      </c>
      <c r="Q11" s="39">
        <v>3</v>
      </c>
      <c r="R11" s="39">
        <v>3</v>
      </c>
      <c r="S11" s="39">
        <v>3</v>
      </c>
      <c r="T11" s="45" t="s">
        <v>1015</v>
      </c>
      <c r="U11" s="39"/>
      <c r="V11" s="1116"/>
      <c r="W11" s="42"/>
      <c r="X11" s="1116"/>
      <c r="Y11" s="239"/>
      <c r="Z11" s="239"/>
      <c r="AA11" s="239"/>
      <c r="AB11" s="239"/>
      <c r="AC11" s="239">
        <v>42353021</v>
      </c>
      <c r="AD11" s="239">
        <v>31146501</v>
      </c>
      <c r="AE11" s="239"/>
      <c r="AF11" s="239"/>
      <c r="AG11" s="239">
        <f t="shared" si="1"/>
        <v>73499522</v>
      </c>
      <c r="AH11" s="1120"/>
      <c r="AI11" s="239"/>
      <c r="AJ11" s="239"/>
      <c r="AK11" s="239"/>
      <c r="AL11" s="239"/>
      <c r="AM11" s="239"/>
      <c r="AN11" s="239"/>
      <c r="AO11" s="239"/>
      <c r="AP11" s="239"/>
      <c r="AQ11" s="239" t="s">
        <v>126</v>
      </c>
      <c r="AR11" s="239" t="s">
        <v>126</v>
      </c>
      <c r="AS11" s="1101"/>
    </row>
    <row r="12" spans="1:50" s="1" customFormat="1" ht="107.25" customHeight="1">
      <c r="A12" s="1114"/>
      <c r="B12" s="1114"/>
      <c r="C12" s="1114" t="s">
        <v>148</v>
      </c>
      <c r="D12" s="1114" t="s">
        <v>133</v>
      </c>
      <c r="E12" s="1114">
        <v>0.97</v>
      </c>
      <c r="F12" s="1114"/>
      <c r="G12" s="1114" t="s">
        <v>149</v>
      </c>
      <c r="H12" s="1114" t="s">
        <v>93</v>
      </c>
      <c r="I12" s="1113">
        <v>75</v>
      </c>
      <c r="J12" s="1113">
        <v>76</v>
      </c>
      <c r="K12" s="1113"/>
      <c r="L12" s="1113" t="s">
        <v>150</v>
      </c>
      <c r="M12" s="156" t="s">
        <v>1020</v>
      </c>
      <c r="N12" s="39">
        <v>100</v>
      </c>
      <c r="O12" s="272" t="s">
        <v>98</v>
      </c>
      <c r="P12" s="39">
        <v>25</v>
      </c>
      <c r="Q12" s="39">
        <v>25</v>
      </c>
      <c r="R12" s="39">
        <v>25</v>
      </c>
      <c r="S12" s="39">
        <v>25</v>
      </c>
      <c r="T12" s="45"/>
      <c r="U12" s="39"/>
      <c r="V12" s="1116">
        <f>63000000+67244386.1536</f>
        <v>130244386.15360001</v>
      </c>
      <c r="W12" s="42"/>
      <c r="X12" s="1116">
        <f>V12</f>
        <v>130244386.15360001</v>
      </c>
      <c r="Y12" s="239"/>
      <c r="Z12" s="239"/>
      <c r="AA12" s="239"/>
      <c r="AB12" s="239"/>
      <c r="AC12" s="239">
        <v>19806612</v>
      </c>
      <c r="AD12" s="239">
        <v>10862682</v>
      </c>
      <c r="AE12" s="239"/>
      <c r="AF12" s="239"/>
      <c r="AG12" s="239">
        <f t="shared" si="1"/>
        <v>30669294</v>
      </c>
      <c r="AH12" s="325">
        <f>+(AG12+AG13)/X12</f>
        <v>0.47094995655061928</v>
      </c>
      <c r="AI12" s="239"/>
      <c r="AJ12" s="239"/>
      <c r="AK12" s="239"/>
      <c r="AL12" s="239"/>
      <c r="AM12" s="239"/>
      <c r="AN12" s="239"/>
      <c r="AO12" s="239"/>
      <c r="AP12" s="239"/>
      <c r="AQ12" s="239"/>
      <c r="AR12" s="239"/>
      <c r="AS12" s="1101"/>
    </row>
    <row r="13" spans="1:50" s="1" customFormat="1" ht="96" customHeight="1">
      <c r="A13" s="1114"/>
      <c r="B13" s="1114"/>
      <c r="C13" s="1114"/>
      <c r="D13" s="1114"/>
      <c r="E13" s="1114"/>
      <c r="F13" s="1114"/>
      <c r="G13" s="1114"/>
      <c r="H13" s="1114"/>
      <c r="I13" s="1113"/>
      <c r="J13" s="1113"/>
      <c r="K13" s="1113"/>
      <c r="L13" s="1113"/>
      <c r="M13" s="156" t="s">
        <v>1021</v>
      </c>
      <c r="N13" s="39">
        <v>85</v>
      </c>
      <c r="O13" s="272" t="s">
        <v>98</v>
      </c>
      <c r="P13" s="39">
        <v>21.25</v>
      </c>
      <c r="Q13" s="39">
        <v>21.25</v>
      </c>
      <c r="R13" s="39">
        <v>21.25</v>
      </c>
      <c r="S13" s="39">
        <v>21.25</v>
      </c>
      <c r="T13" s="45" t="s">
        <v>1015</v>
      </c>
      <c r="U13" s="39"/>
      <c r="V13" s="1116"/>
      <c r="W13" s="42"/>
      <c r="X13" s="1116"/>
      <c r="Y13" s="239"/>
      <c r="Z13" s="239"/>
      <c r="AA13" s="239"/>
      <c r="AB13" s="239"/>
      <c r="AC13" s="239">
        <v>19806612</v>
      </c>
      <c r="AD13" s="239">
        <v>10862682</v>
      </c>
      <c r="AE13" s="239"/>
      <c r="AF13" s="239"/>
      <c r="AG13" s="239">
        <f t="shared" si="1"/>
        <v>30669294</v>
      </c>
      <c r="AH13" s="325" t="e">
        <f>+(AG13+AG14)/X13</f>
        <v>#DIV/0!</v>
      </c>
      <c r="AI13" s="239"/>
      <c r="AJ13" s="239"/>
      <c r="AK13" s="239"/>
      <c r="AL13" s="239"/>
      <c r="AM13" s="239"/>
      <c r="AN13" s="239"/>
      <c r="AO13" s="239"/>
      <c r="AP13" s="239"/>
      <c r="AQ13" s="239" t="s">
        <v>126</v>
      </c>
      <c r="AR13" s="239" t="s">
        <v>126</v>
      </c>
      <c r="AS13" s="1101"/>
    </row>
    <row r="14" spans="1:50" s="1" customFormat="1" ht="106.5" customHeight="1">
      <c r="A14" s="1114"/>
      <c r="B14" s="1114"/>
      <c r="C14" s="38" t="s">
        <v>153</v>
      </c>
      <c r="D14" s="39" t="s">
        <v>72</v>
      </c>
      <c r="E14" s="39">
        <v>0</v>
      </c>
      <c r="F14" s="1114"/>
      <c r="G14" s="40" t="s">
        <v>154</v>
      </c>
      <c r="H14" s="40" t="s">
        <v>93</v>
      </c>
      <c r="I14" s="43">
        <v>9</v>
      </c>
      <c r="J14" s="43">
        <v>10</v>
      </c>
      <c r="K14" s="1113"/>
      <c r="L14" s="1113" t="s">
        <v>123</v>
      </c>
      <c r="M14" s="44" t="s">
        <v>1022</v>
      </c>
      <c r="N14" s="39">
        <v>100</v>
      </c>
      <c r="O14" s="272" t="s">
        <v>98</v>
      </c>
      <c r="P14" s="39">
        <v>25</v>
      </c>
      <c r="Q14" s="39">
        <v>25</v>
      </c>
      <c r="R14" s="39">
        <v>25</v>
      </c>
      <c r="S14" s="39">
        <v>25</v>
      </c>
      <c r="T14" s="45" t="s">
        <v>1015</v>
      </c>
      <c r="U14" s="39"/>
      <c r="V14" s="42">
        <f>56700000+1101853184.19+79890987.6576</f>
        <v>1238444171.8476</v>
      </c>
      <c r="W14" s="42"/>
      <c r="X14" s="42">
        <f t="shared" si="0"/>
        <v>1238444171.8476</v>
      </c>
      <c r="Y14" s="239"/>
      <c r="Z14" s="239"/>
      <c r="AA14" s="239"/>
      <c r="AB14" s="239"/>
      <c r="AC14" s="239">
        <v>96381379</v>
      </c>
      <c r="AD14" s="239">
        <v>39069116</v>
      </c>
      <c r="AE14" s="239"/>
      <c r="AF14" s="239"/>
      <c r="AG14" s="239">
        <f t="shared" si="1"/>
        <v>135450495</v>
      </c>
      <c r="AH14" s="325">
        <f>+(AG14)/X14</f>
        <v>0.10937149859401835</v>
      </c>
      <c r="AI14" s="239"/>
      <c r="AJ14" s="239"/>
      <c r="AK14" s="239"/>
      <c r="AL14" s="239"/>
      <c r="AM14" s="239"/>
      <c r="AN14" s="239"/>
      <c r="AO14" s="239"/>
      <c r="AP14" s="239"/>
      <c r="AQ14" s="239" t="s">
        <v>126</v>
      </c>
      <c r="AR14" s="239" t="s">
        <v>126</v>
      </c>
      <c r="AS14" s="1101"/>
    </row>
    <row r="15" spans="1:50" s="1" customFormat="1" ht="102" customHeight="1">
      <c r="A15" s="1114"/>
      <c r="B15" s="1114"/>
      <c r="C15" s="1115" t="s">
        <v>159</v>
      </c>
      <c r="D15" s="1114" t="s">
        <v>133</v>
      </c>
      <c r="E15" s="1114">
        <v>1.1599999999999999</v>
      </c>
      <c r="F15" s="1114"/>
      <c r="G15" s="40" t="s">
        <v>160</v>
      </c>
      <c r="H15" s="40" t="s">
        <v>93</v>
      </c>
      <c r="I15" s="43">
        <v>75</v>
      </c>
      <c r="J15" s="43">
        <v>75</v>
      </c>
      <c r="K15" s="1113"/>
      <c r="L15" s="1113"/>
      <c r="M15" s="156" t="s">
        <v>1018</v>
      </c>
      <c r="N15" s="39">
        <v>144</v>
      </c>
      <c r="O15" s="39" t="s">
        <v>86</v>
      </c>
      <c r="P15" s="39">
        <v>36</v>
      </c>
      <c r="Q15" s="39">
        <v>36</v>
      </c>
      <c r="R15" s="39">
        <v>36</v>
      </c>
      <c r="S15" s="39">
        <v>36</v>
      </c>
      <c r="T15" s="45" t="s">
        <v>1015</v>
      </c>
      <c r="U15" s="39"/>
      <c r="V15" s="42">
        <v>125772872.90000001</v>
      </c>
      <c r="W15" s="42"/>
      <c r="X15" s="42">
        <f t="shared" si="0"/>
        <v>125772872.90000001</v>
      </c>
      <c r="Y15" s="239"/>
      <c r="Z15" s="239"/>
      <c r="AA15" s="239"/>
      <c r="AB15" s="239"/>
      <c r="AC15" s="239">
        <v>42353021</v>
      </c>
      <c r="AD15" s="239">
        <v>31146501</v>
      </c>
      <c r="AE15" s="239"/>
      <c r="AF15" s="239"/>
      <c r="AG15" s="239">
        <f t="shared" si="1"/>
        <v>73499522</v>
      </c>
      <c r="AH15" s="325">
        <f t="shared" ref="AH15" si="2">+(AG15)/X15</f>
        <v>0.58438294606213126</v>
      </c>
      <c r="AI15" s="239"/>
      <c r="AJ15" s="239"/>
      <c r="AK15" s="239"/>
      <c r="AL15" s="239"/>
      <c r="AM15" s="239"/>
      <c r="AN15" s="239"/>
      <c r="AO15" s="239"/>
      <c r="AP15" s="239"/>
      <c r="AQ15" s="239" t="s">
        <v>126</v>
      </c>
      <c r="AR15" s="239" t="s">
        <v>126</v>
      </c>
      <c r="AS15" s="1101"/>
    </row>
    <row r="16" spans="1:50" s="1" customFormat="1" ht="102" customHeight="1">
      <c r="A16" s="1114"/>
      <c r="B16" s="1114"/>
      <c r="C16" s="1115"/>
      <c r="D16" s="1114"/>
      <c r="E16" s="1114"/>
      <c r="F16" s="1114"/>
      <c r="G16" s="1114" t="s">
        <v>162</v>
      </c>
      <c r="H16" s="1114" t="s">
        <v>93</v>
      </c>
      <c r="I16" s="1113">
        <v>8</v>
      </c>
      <c r="J16" s="1113">
        <v>5</v>
      </c>
      <c r="K16" s="1113"/>
      <c r="L16" s="1113" t="s">
        <v>150</v>
      </c>
      <c r="M16" s="156" t="s">
        <v>1023</v>
      </c>
      <c r="N16" s="39">
        <v>80</v>
      </c>
      <c r="O16" s="272" t="s">
        <v>98</v>
      </c>
      <c r="P16" s="39">
        <v>20</v>
      </c>
      <c r="Q16" s="39">
        <v>20</v>
      </c>
      <c r="R16" s="39">
        <v>20</v>
      </c>
      <c r="S16" s="39">
        <v>20</v>
      </c>
      <c r="T16" s="45"/>
      <c r="U16" s="39"/>
      <c r="V16" s="1116">
        <f>63000000+67244386.1536</f>
        <v>130244386.15360001</v>
      </c>
      <c r="W16" s="42"/>
      <c r="X16" s="1116">
        <f>V16</f>
        <v>130244386.15360001</v>
      </c>
      <c r="Y16" s="239"/>
      <c r="Z16" s="239"/>
      <c r="AA16" s="239"/>
      <c r="AB16" s="239"/>
      <c r="AC16" s="239">
        <v>19806612</v>
      </c>
      <c r="AD16" s="239">
        <v>10862682</v>
      </c>
      <c r="AE16" s="239"/>
      <c r="AF16" s="239"/>
      <c r="AG16" s="239">
        <f t="shared" si="1"/>
        <v>30669294</v>
      </c>
      <c r="AH16" s="1119">
        <f>+(AG16+AG17)/X16</f>
        <v>0.47094995655061928</v>
      </c>
      <c r="AI16" s="239"/>
      <c r="AJ16" s="239"/>
      <c r="AK16" s="239"/>
      <c r="AL16" s="239"/>
      <c r="AM16" s="239"/>
      <c r="AN16" s="239"/>
      <c r="AO16" s="239"/>
      <c r="AP16" s="239"/>
      <c r="AQ16" s="239"/>
      <c r="AR16" s="239"/>
      <c r="AS16" s="1101"/>
    </row>
    <row r="17" spans="1:47" s="1" customFormat="1" ht="78.75" customHeight="1">
      <c r="A17" s="1114"/>
      <c r="B17" s="1114"/>
      <c r="C17" s="1115"/>
      <c r="D17" s="1114"/>
      <c r="E17" s="1114"/>
      <c r="F17" s="1114"/>
      <c r="G17" s="1114"/>
      <c r="H17" s="1114"/>
      <c r="I17" s="1113"/>
      <c r="J17" s="1113"/>
      <c r="K17" s="1113"/>
      <c r="L17" s="1113"/>
      <c r="M17" s="44" t="s">
        <v>164</v>
      </c>
      <c r="N17" s="39">
        <v>80</v>
      </c>
      <c r="O17" s="272" t="s">
        <v>98</v>
      </c>
      <c r="P17" s="39">
        <v>20</v>
      </c>
      <c r="Q17" s="39">
        <v>20</v>
      </c>
      <c r="R17" s="39">
        <v>20</v>
      </c>
      <c r="S17" s="39">
        <v>20</v>
      </c>
      <c r="T17" s="45" t="s">
        <v>975</v>
      </c>
      <c r="U17" s="39"/>
      <c r="V17" s="1116"/>
      <c r="W17" s="42"/>
      <c r="X17" s="1116"/>
      <c r="Y17" s="239"/>
      <c r="Z17" s="239"/>
      <c r="AA17" s="239"/>
      <c r="AB17" s="239"/>
      <c r="AC17" s="239">
        <v>19806612</v>
      </c>
      <c r="AD17" s="239">
        <v>10862682</v>
      </c>
      <c r="AE17" s="239"/>
      <c r="AF17" s="239"/>
      <c r="AG17" s="239">
        <f t="shared" si="1"/>
        <v>30669294</v>
      </c>
      <c r="AH17" s="1120"/>
      <c r="AI17" s="239"/>
      <c r="AJ17" s="239"/>
      <c r="AK17" s="239"/>
      <c r="AL17" s="239"/>
      <c r="AM17" s="239"/>
      <c r="AN17" s="239"/>
      <c r="AO17" s="239"/>
      <c r="AP17" s="239"/>
      <c r="AQ17" s="239" t="s">
        <v>126</v>
      </c>
      <c r="AR17" s="239" t="s">
        <v>126</v>
      </c>
      <c r="AS17" s="1101"/>
    </row>
    <row r="18" spans="1:47" s="1" customFormat="1" ht="96" customHeight="1">
      <c r="A18" s="1114"/>
      <c r="B18" s="1114"/>
      <c r="C18" s="1115"/>
      <c r="D18" s="1114"/>
      <c r="E18" s="1114"/>
      <c r="F18" s="1114"/>
      <c r="G18" s="40" t="s">
        <v>165</v>
      </c>
      <c r="H18" s="40" t="s">
        <v>93</v>
      </c>
      <c r="I18" s="43">
        <v>100</v>
      </c>
      <c r="J18" s="43">
        <v>100</v>
      </c>
      <c r="K18" s="41"/>
      <c r="L18" s="1113"/>
      <c r="M18" s="44" t="s">
        <v>164</v>
      </c>
      <c r="N18" s="39">
        <v>100</v>
      </c>
      <c r="O18" s="272" t="s">
        <v>98</v>
      </c>
      <c r="P18" s="39">
        <v>25</v>
      </c>
      <c r="Q18" s="39">
        <v>25</v>
      </c>
      <c r="R18" s="39">
        <v>25</v>
      </c>
      <c r="S18" s="39">
        <v>25</v>
      </c>
      <c r="T18" s="45" t="s">
        <v>975</v>
      </c>
      <c r="U18" s="39"/>
      <c r="V18" s="42">
        <f>56700000+67244386.1536</f>
        <v>123944386.15360001</v>
      </c>
      <c r="W18" s="42"/>
      <c r="X18" s="42">
        <f t="shared" si="0"/>
        <v>123944386.15360001</v>
      </c>
      <c r="Y18" s="239"/>
      <c r="Z18" s="239"/>
      <c r="AA18" s="239"/>
      <c r="AB18" s="239"/>
      <c r="AC18" s="239">
        <v>19806612</v>
      </c>
      <c r="AD18" s="239">
        <v>10862682</v>
      </c>
      <c r="AE18" s="239"/>
      <c r="AF18" s="239"/>
      <c r="AG18" s="239">
        <f t="shared" si="1"/>
        <v>30669294</v>
      </c>
      <c r="AH18" s="325">
        <f t="shared" ref="AH18" si="3">+(AG18+AG19)/X18</f>
        <v>0.24744399445403362</v>
      </c>
      <c r="AI18" s="239"/>
      <c r="AJ18" s="239"/>
      <c r="AK18" s="239"/>
      <c r="AL18" s="239"/>
      <c r="AM18" s="239"/>
      <c r="AN18" s="239"/>
      <c r="AO18" s="239"/>
      <c r="AP18" s="239"/>
      <c r="AQ18" s="239" t="s">
        <v>126</v>
      </c>
      <c r="AR18" s="239" t="s">
        <v>126</v>
      </c>
      <c r="AS18" s="1101"/>
    </row>
    <row r="19" spans="1:47" s="1" customFormat="1" ht="100.5" customHeight="1">
      <c r="A19" s="1114"/>
      <c r="B19" s="1114"/>
      <c r="C19" s="1115"/>
      <c r="D19" s="1114"/>
      <c r="E19" s="1114"/>
      <c r="F19" s="1114"/>
      <c r="G19" s="40" t="s">
        <v>308</v>
      </c>
      <c r="H19" s="40" t="s">
        <v>72</v>
      </c>
      <c r="I19" s="43">
        <v>1</v>
      </c>
      <c r="J19" s="43">
        <v>1</v>
      </c>
      <c r="K19" s="41"/>
      <c r="L19" s="43" t="s">
        <v>309</v>
      </c>
      <c r="M19" s="44" t="s">
        <v>310</v>
      </c>
      <c r="N19" s="39">
        <v>100</v>
      </c>
      <c r="O19" s="272" t="s">
        <v>98</v>
      </c>
      <c r="P19" s="39">
        <v>25</v>
      </c>
      <c r="Q19" s="39">
        <v>25</v>
      </c>
      <c r="R19" s="39">
        <v>25</v>
      </c>
      <c r="S19" s="39">
        <v>25</v>
      </c>
      <c r="T19" s="45">
        <v>1020100</v>
      </c>
      <c r="U19" s="39"/>
      <c r="V19" s="42">
        <v>89838668.807999998</v>
      </c>
      <c r="W19" s="42"/>
      <c r="X19" s="42">
        <f t="shared" si="0"/>
        <v>89838668.807999998</v>
      </c>
      <c r="Y19" s="239"/>
      <c r="Z19" s="239"/>
      <c r="AA19" s="239"/>
      <c r="AB19" s="239"/>
      <c r="AC19" s="239">
        <v>0</v>
      </c>
      <c r="AD19" s="239">
        <v>0</v>
      </c>
      <c r="AE19" s="239"/>
      <c r="AF19" s="239"/>
      <c r="AG19" s="239">
        <f t="shared" si="1"/>
        <v>0</v>
      </c>
      <c r="AH19" s="325"/>
      <c r="AI19" s="239"/>
      <c r="AJ19" s="239"/>
      <c r="AK19" s="239"/>
      <c r="AL19" s="239"/>
      <c r="AM19" s="239"/>
      <c r="AN19" s="239"/>
      <c r="AO19" s="239"/>
      <c r="AP19" s="239"/>
      <c r="AQ19" s="239" t="s">
        <v>126</v>
      </c>
      <c r="AR19" s="239" t="s">
        <v>126</v>
      </c>
      <c r="AS19" s="1101"/>
    </row>
    <row r="20" spans="1:47" s="1" customFormat="1" ht="93" customHeight="1">
      <c r="A20" s="1114"/>
      <c r="B20" s="1114"/>
      <c r="C20" s="1115"/>
      <c r="D20" s="1114"/>
      <c r="E20" s="1114"/>
      <c r="F20" s="1114" t="s">
        <v>166</v>
      </c>
      <c r="G20" s="40" t="s">
        <v>167</v>
      </c>
      <c r="H20" s="40" t="s">
        <v>72</v>
      </c>
      <c r="I20" s="43">
        <v>1</v>
      </c>
      <c r="J20" s="43">
        <v>1</v>
      </c>
      <c r="K20" s="41"/>
      <c r="L20" s="43" t="s">
        <v>168</v>
      </c>
      <c r="M20" s="44" t="s">
        <v>1024</v>
      </c>
      <c r="N20" s="39">
        <v>12</v>
      </c>
      <c r="O20" s="39" t="s">
        <v>86</v>
      </c>
      <c r="P20" s="39">
        <v>3</v>
      </c>
      <c r="Q20" s="39">
        <v>3</v>
      </c>
      <c r="R20" s="39">
        <v>3</v>
      </c>
      <c r="S20" s="39">
        <v>3</v>
      </c>
      <c r="T20" s="45" t="s">
        <v>1015</v>
      </c>
      <c r="U20" s="39"/>
      <c r="V20" s="42">
        <v>30465079.77888</v>
      </c>
      <c r="W20" s="42"/>
      <c r="X20" s="42">
        <f t="shared" si="0"/>
        <v>30465079.77888</v>
      </c>
      <c r="Y20" s="239"/>
      <c r="Z20" s="239"/>
      <c r="AA20" s="239"/>
      <c r="AB20" s="239"/>
      <c r="AC20" s="239">
        <v>6716648</v>
      </c>
      <c r="AD20" s="239">
        <v>3790307</v>
      </c>
      <c r="AE20" s="239"/>
      <c r="AF20" s="239"/>
      <c r="AG20" s="239">
        <f t="shared" si="1"/>
        <v>10506955</v>
      </c>
      <c r="AH20" s="325">
        <f>+AG20/X20</f>
        <v>0.34488519564895331</v>
      </c>
      <c r="AI20" s="239"/>
      <c r="AJ20" s="239"/>
      <c r="AK20" s="239"/>
      <c r="AL20" s="239"/>
      <c r="AM20" s="239"/>
      <c r="AN20" s="239"/>
      <c r="AO20" s="239"/>
      <c r="AP20" s="239"/>
      <c r="AQ20" s="239" t="s">
        <v>126</v>
      </c>
      <c r="AR20" s="239" t="s">
        <v>126</v>
      </c>
      <c r="AS20" s="1101"/>
    </row>
    <row r="21" spans="1:47" s="1" customFormat="1" ht="99.75" customHeight="1">
      <c r="A21" s="1114"/>
      <c r="B21" s="1114"/>
      <c r="C21" s="1115"/>
      <c r="D21" s="1114"/>
      <c r="E21" s="1114"/>
      <c r="F21" s="1114"/>
      <c r="G21" s="40" t="s">
        <v>175</v>
      </c>
      <c r="H21" s="40" t="s">
        <v>93</v>
      </c>
      <c r="I21" s="43" t="s">
        <v>69</v>
      </c>
      <c r="J21" s="43">
        <v>40</v>
      </c>
      <c r="K21" s="41"/>
      <c r="L21" s="43" t="s">
        <v>177</v>
      </c>
      <c r="M21" s="44" t="s">
        <v>1025</v>
      </c>
      <c r="N21" s="39">
        <v>12</v>
      </c>
      <c r="O21" s="39" t="s">
        <v>72</v>
      </c>
      <c r="P21" s="39">
        <v>3</v>
      </c>
      <c r="Q21" s="39">
        <v>3</v>
      </c>
      <c r="R21" s="39">
        <v>3</v>
      </c>
      <c r="S21" s="39">
        <v>3</v>
      </c>
      <c r="T21" s="45" t="s">
        <v>1015</v>
      </c>
      <c r="U21" s="39"/>
      <c r="V21" s="42">
        <v>30465079.77888</v>
      </c>
      <c r="W21" s="42"/>
      <c r="X21" s="42">
        <f t="shared" si="0"/>
        <v>30465079.77888</v>
      </c>
      <c r="Y21" s="239"/>
      <c r="Z21" s="239"/>
      <c r="AA21" s="239"/>
      <c r="AB21" s="239"/>
      <c r="AC21" s="239">
        <v>6716648</v>
      </c>
      <c r="AD21" s="239">
        <v>3790307</v>
      </c>
      <c r="AE21" s="239"/>
      <c r="AF21" s="239"/>
      <c r="AG21" s="239">
        <f t="shared" si="1"/>
        <v>10506955</v>
      </c>
      <c r="AH21" s="325">
        <f t="shared" ref="AH21:AH24" si="4">+AG21/X21</f>
        <v>0.34488519564895331</v>
      </c>
      <c r="AI21" s="239"/>
      <c r="AJ21" s="239"/>
      <c r="AK21" s="239"/>
      <c r="AL21" s="239"/>
      <c r="AM21" s="239"/>
      <c r="AN21" s="239"/>
      <c r="AO21" s="239"/>
      <c r="AP21" s="239"/>
      <c r="AQ21" s="239" t="s">
        <v>126</v>
      </c>
      <c r="AR21" s="239" t="s">
        <v>126</v>
      </c>
      <c r="AS21" s="1101"/>
      <c r="AU21" s="145"/>
    </row>
    <row r="22" spans="1:47" s="1" customFormat="1" ht="78.75" customHeight="1">
      <c r="A22" s="1114"/>
      <c r="B22" s="1114"/>
      <c r="C22" s="1115"/>
      <c r="D22" s="1114"/>
      <c r="E22" s="1114"/>
      <c r="F22" s="1114" t="s">
        <v>179</v>
      </c>
      <c r="G22" s="40" t="s">
        <v>180</v>
      </c>
      <c r="H22" s="40" t="s">
        <v>181</v>
      </c>
      <c r="I22" s="43">
        <v>1.5</v>
      </c>
      <c r="J22" s="43">
        <v>1.3</v>
      </c>
      <c r="K22" s="41"/>
      <c r="L22" s="43" t="s">
        <v>182</v>
      </c>
      <c r="M22" s="44" t="s">
        <v>1026</v>
      </c>
      <c r="N22" s="39">
        <v>100</v>
      </c>
      <c r="O22" s="272" t="s">
        <v>98</v>
      </c>
      <c r="P22" s="39">
        <v>25</v>
      </c>
      <c r="Q22" s="39">
        <v>25</v>
      </c>
      <c r="R22" s="39">
        <v>25</v>
      </c>
      <c r="S22" s="39">
        <v>25</v>
      </c>
      <c r="T22" s="45" t="s">
        <v>1015</v>
      </c>
      <c r="U22" s="39"/>
      <c r="V22" s="42">
        <v>75857409.449279994</v>
      </c>
      <c r="W22" s="42"/>
      <c r="X22" s="42">
        <f>V22</f>
        <v>75857409.449279994</v>
      </c>
      <c r="Y22" s="239"/>
      <c r="Z22" s="239"/>
      <c r="AA22" s="239"/>
      <c r="AB22" s="239"/>
      <c r="AC22" s="239">
        <v>27610991</v>
      </c>
      <c r="AD22" s="239">
        <v>27610991</v>
      </c>
      <c r="AE22" s="239"/>
      <c r="AF22" s="239"/>
      <c r="AG22" s="239">
        <f t="shared" si="1"/>
        <v>55221982</v>
      </c>
      <c r="AH22" s="325">
        <f t="shared" si="4"/>
        <v>0.72797083898472281</v>
      </c>
      <c r="AI22" s="239"/>
      <c r="AJ22" s="239"/>
      <c r="AK22" s="239"/>
      <c r="AL22" s="239"/>
      <c r="AM22" s="239"/>
      <c r="AN22" s="239"/>
      <c r="AO22" s="239"/>
      <c r="AP22" s="239"/>
      <c r="AQ22" s="239" t="s">
        <v>126</v>
      </c>
      <c r="AR22" s="239" t="s">
        <v>126</v>
      </c>
      <c r="AS22" s="1101"/>
    </row>
    <row r="23" spans="1:47" s="1" customFormat="1" ht="88.5" customHeight="1">
      <c r="A23" s="1114"/>
      <c r="B23" s="1114"/>
      <c r="C23" s="1115"/>
      <c r="D23" s="1114"/>
      <c r="E23" s="1114"/>
      <c r="F23" s="1114"/>
      <c r="G23" s="40" t="s">
        <v>184</v>
      </c>
      <c r="H23" s="40" t="s">
        <v>181</v>
      </c>
      <c r="I23" s="43">
        <v>1.59</v>
      </c>
      <c r="J23" s="43">
        <v>1.3</v>
      </c>
      <c r="K23" s="41"/>
      <c r="L23" s="43" t="s">
        <v>185</v>
      </c>
      <c r="M23" s="39" t="s">
        <v>1027</v>
      </c>
      <c r="N23" s="39">
        <v>100</v>
      </c>
      <c r="O23" s="272" t="s">
        <v>98</v>
      </c>
      <c r="P23" s="39">
        <v>25</v>
      </c>
      <c r="Q23" s="39">
        <v>25</v>
      </c>
      <c r="R23" s="39">
        <v>25</v>
      </c>
      <c r="S23" s="39">
        <v>25</v>
      </c>
      <c r="T23" s="45" t="s">
        <v>1015</v>
      </c>
      <c r="U23" s="39"/>
      <c r="V23" s="42">
        <v>75857409.449279994</v>
      </c>
      <c r="W23" s="42"/>
      <c r="X23" s="42">
        <f>V23</f>
        <v>75857409.449279994</v>
      </c>
      <c r="Y23" s="239"/>
      <c r="Z23" s="239"/>
      <c r="AA23" s="239"/>
      <c r="AB23" s="239"/>
      <c r="AC23" s="239">
        <v>27610991</v>
      </c>
      <c r="AD23" s="239">
        <v>27610991</v>
      </c>
      <c r="AE23" s="239"/>
      <c r="AF23" s="239"/>
      <c r="AG23" s="239">
        <f t="shared" si="1"/>
        <v>55221982</v>
      </c>
      <c r="AH23" s="325">
        <f t="shared" si="4"/>
        <v>0.72797083898472281</v>
      </c>
      <c r="AI23" s="239"/>
      <c r="AJ23" s="239"/>
      <c r="AK23" s="239"/>
      <c r="AL23" s="239"/>
      <c r="AM23" s="239"/>
      <c r="AN23" s="239"/>
      <c r="AO23" s="239"/>
      <c r="AP23" s="239"/>
      <c r="AQ23" s="239" t="s">
        <v>126</v>
      </c>
      <c r="AR23" s="239" t="s">
        <v>126</v>
      </c>
      <c r="AS23" s="1101"/>
    </row>
    <row r="24" spans="1:47" s="1" customFormat="1" ht="75" customHeight="1">
      <c r="A24" s="1114"/>
      <c r="B24" s="1114"/>
      <c r="C24" s="1115"/>
      <c r="D24" s="1114"/>
      <c r="E24" s="1114"/>
      <c r="F24" s="1114"/>
      <c r="G24" s="1115" t="s">
        <v>187</v>
      </c>
      <c r="H24" s="1114" t="s">
        <v>93</v>
      </c>
      <c r="I24" s="1113">
        <v>73</v>
      </c>
      <c r="J24" s="1113">
        <v>75</v>
      </c>
      <c r="K24" s="41"/>
      <c r="L24" s="43" t="s">
        <v>188</v>
      </c>
      <c r="M24" s="44" t="s">
        <v>1028</v>
      </c>
      <c r="N24" s="39">
        <v>100</v>
      </c>
      <c r="O24" s="272" t="s">
        <v>98</v>
      </c>
      <c r="P24" s="39">
        <v>25</v>
      </c>
      <c r="Q24" s="39">
        <v>25</v>
      </c>
      <c r="R24" s="39">
        <v>25</v>
      </c>
      <c r="S24" s="39">
        <v>25</v>
      </c>
      <c r="T24" s="45" t="s">
        <v>1015</v>
      </c>
      <c r="U24" s="39"/>
      <c r="V24" s="42">
        <v>75857409.449279994</v>
      </c>
      <c r="W24" s="42"/>
      <c r="X24" s="42">
        <f>V24</f>
        <v>75857409.449279994</v>
      </c>
      <c r="Y24" s="239"/>
      <c r="Z24" s="239"/>
      <c r="AA24" s="239"/>
      <c r="AB24" s="239"/>
      <c r="AC24" s="239">
        <v>27610991</v>
      </c>
      <c r="AD24" s="239">
        <v>27610991</v>
      </c>
      <c r="AE24" s="239"/>
      <c r="AF24" s="239"/>
      <c r="AG24" s="239">
        <f t="shared" si="1"/>
        <v>55221982</v>
      </c>
      <c r="AH24" s="325">
        <f t="shared" si="4"/>
        <v>0.72797083898472281</v>
      </c>
      <c r="AI24" s="239"/>
      <c r="AJ24" s="239"/>
      <c r="AK24" s="239"/>
      <c r="AL24" s="239"/>
      <c r="AM24" s="239"/>
      <c r="AN24" s="239"/>
      <c r="AO24" s="239"/>
      <c r="AP24" s="239"/>
      <c r="AQ24" s="239" t="s">
        <v>126</v>
      </c>
      <c r="AR24" s="239" t="s">
        <v>126</v>
      </c>
      <c r="AS24" s="1101"/>
    </row>
    <row r="25" spans="1:47" s="1" customFormat="1" ht="99.75" customHeight="1">
      <c r="A25" s="1114"/>
      <c r="B25" s="1114"/>
      <c r="C25" s="1115"/>
      <c r="D25" s="1114"/>
      <c r="E25" s="1114"/>
      <c r="F25" s="1114"/>
      <c r="G25" s="1115"/>
      <c r="H25" s="1114"/>
      <c r="I25" s="1113"/>
      <c r="J25" s="1113"/>
      <c r="K25" s="41"/>
      <c r="L25" s="39" t="s">
        <v>190</v>
      </c>
      <c r="M25" s="44" t="s">
        <v>1029</v>
      </c>
      <c r="N25" s="39">
        <v>100</v>
      </c>
      <c r="O25" s="272" t="s">
        <v>98</v>
      </c>
      <c r="P25" s="39">
        <v>25</v>
      </c>
      <c r="Q25" s="39">
        <v>25</v>
      </c>
      <c r="R25" s="39">
        <v>25</v>
      </c>
      <c r="S25" s="39">
        <v>25</v>
      </c>
      <c r="T25" s="45" t="s">
        <v>1015</v>
      </c>
      <c r="U25" s="39"/>
      <c r="V25" s="42">
        <v>75857409.449279994</v>
      </c>
      <c r="W25" s="42"/>
      <c r="X25" s="42">
        <f>V25</f>
        <v>75857409.449279994</v>
      </c>
      <c r="Y25" s="239"/>
      <c r="Z25" s="239"/>
      <c r="AA25" s="239"/>
      <c r="AB25" s="239"/>
      <c r="AC25" s="239">
        <v>27610991</v>
      </c>
      <c r="AD25" s="239">
        <v>27610991</v>
      </c>
      <c r="AE25" s="239"/>
      <c r="AF25" s="239"/>
      <c r="AG25" s="239">
        <f t="shared" si="1"/>
        <v>55221982</v>
      </c>
      <c r="AH25" s="325">
        <f>+AG25/X25</f>
        <v>0.72797083898472281</v>
      </c>
      <c r="AI25" s="239"/>
      <c r="AJ25" s="239"/>
      <c r="AK25" s="239"/>
      <c r="AL25" s="239"/>
      <c r="AM25" s="239"/>
      <c r="AN25" s="239"/>
      <c r="AO25" s="239"/>
      <c r="AP25" s="239"/>
      <c r="AQ25" s="239" t="s">
        <v>126</v>
      </c>
      <c r="AR25" s="239" t="s">
        <v>126</v>
      </c>
      <c r="AS25" s="1102"/>
    </row>
    <row r="26" spans="1:47" s="1" customFormat="1" ht="65.25" customHeight="1">
      <c r="A26" s="1118" t="s">
        <v>979</v>
      </c>
      <c r="B26" s="1118"/>
      <c r="C26" s="1118"/>
      <c r="D26" s="1118"/>
      <c r="E26" s="1118"/>
      <c r="F26" s="1118"/>
      <c r="G26" s="1118"/>
      <c r="H26" s="1118"/>
      <c r="I26" s="1118"/>
      <c r="J26" s="1118"/>
      <c r="K26" s="1118"/>
      <c r="L26" s="1118"/>
      <c r="M26" s="1118"/>
      <c r="N26" s="198">
        <f>N21+N20+N15+N11+N10</f>
        <v>324</v>
      </c>
      <c r="O26" s="198" t="s">
        <v>72</v>
      </c>
      <c r="P26" s="198">
        <f>P21+P20+P15+P10+P11</f>
        <v>81</v>
      </c>
      <c r="Q26" s="198">
        <f t="shared" ref="Q26:S26" si="5">Q21+Q20+Q15+Q10+Q11</f>
        <v>81</v>
      </c>
      <c r="R26" s="198">
        <f t="shared" si="5"/>
        <v>81</v>
      </c>
      <c r="S26" s="198">
        <f t="shared" si="5"/>
        <v>81</v>
      </c>
      <c r="T26" s="200"/>
      <c r="U26" s="198"/>
      <c r="V26" s="1121">
        <f>SUM(V8:V25)</f>
        <v>2647607462.2712793</v>
      </c>
      <c r="W26" s="201"/>
      <c r="X26" s="1121">
        <f>SUM(X8:X25)</f>
        <v>2647607462.2712793</v>
      </c>
      <c r="Y26" s="198">
        <f t="shared" ref="Y26:AB26" si="6">Y21+Y20+Y15+Y10+Y11</f>
        <v>0</v>
      </c>
      <c r="Z26" s="198">
        <f t="shared" si="6"/>
        <v>0</v>
      </c>
      <c r="AA26" s="198">
        <f t="shared" si="6"/>
        <v>0</v>
      </c>
      <c r="AB26" s="198">
        <f t="shared" si="6"/>
        <v>0</v>
      </c>
      <c r="AC26" s="1121">
        <f>SUM(AC8:AC25)</f>
        <v>639113520</v>
      </c>
      <c r="AD26" s="1121">
        <f t="shared" ref="AD26:AG26" si="7">SUM(AD8:AD25)</f>
        <v>382984839</v>
      </c>
      <c r="AE26" s="1121">
        <f t="shared" si="7"/>
        <v>0</v>
      </c>
      <c r="AF26" s="1121">
        <f t="shared" si="7"/>
        <v>0</v>
      </c>
      <c r="AG26" s="1121">
        <f t="shared" si="7"/>
        <v>1022098359</v>
      </c>
      <c r="AH26" s="1119">
        <f>+AG26/X26</f>
        <v>0.38604603347173738</v>
      </c>
      <c r="AI26" s="232"/>
      <c r="AJ26" s="232"/>
      <c r="AK26" s="232"/>
      <c r="AL26" s="232"/>
      <c r="AM26" s="232"/>
      <c r="AN26" s="232"/>
      <c r="AO26" s="232"/>
      <c r="AP26" s="232"/>
      <c r="AQ26" s="232"/>
      <c r="AR26" s="232"/>
      <c r="AS26" s="210"/>
    </row>
    <row r="27" spans="1:47" s="1" customFormat="1" ht="51.75" customHeight="1">
      <c r="A27" s="1118"/>
      <c r="B27" s="1118"/>
      <c r="C27" s="1118"/>
      <c r="D27" s="1118"/>
      <c r="E27" s="1118"/>
      <c r="F27" s="1118"/>
      <c r="G27" s="1118"/>
      <c r="H27" s="1118"/>
      <c r="I27" s="1118"/>
      <c r="J27" s="1118"/>
      <c r="K27" s="1118"/>
      <c r="L27" s="1118"/>
      <c r="M27" s="1118"/>
      <c r="N27" s="198">
        <v>100</v>
      </c>
      <c r="O27" s="198" t="s">
        <v>98</v>
      </c>
      <c r="P27" s="198">
        <v>100</v>
      </c>
      <c r="Q27" s="198">
        <v>100</v>
      </c>
      <c r="R27" s="198">
        <v>100</v>
      </c>
      <c r="S27" s="198">
        <v>100</v>
      </c>
      <c r="T27" s="200"/>
      <c r="U27" s="198"/>
      <c r="V27" s="1121"/>
      <c r="W27" s="201"/>
      <c r="X27" s="1121"/>
      <c r="Y27" s="277">
        <f>AVERAGE(Y25+Y24+Y23+Y19+Y18+Y17+Y16+Y14+Y13+Y12+Y9+Y8)</f>
        <v>0</v>
      </c>
      <c r="Z27" s="277">
        <f t="shared" ref="Z27:AB27" si="8">AVERAGE(Z25+Z24+Z23+Z19+Z18+Z17+Z16+Z14+Z13+Z12+Z9+Z8)</f>
        <v>0</v>
      </c>
      <c r="AA27" s="277">
        <f t="shared" si="8"/>
        <v>0</v>
      </c>
      <c r="AB27" s="277">
        <f t="shared" si="8"/>
        <v>0</v>
      </c>
      <c r="AC27" s="1121"/>
      <c r="AD27" s="1121"/>
      <c r="AE27" s="1121"/>
      <c r="AF27" s="1121"/>
      <c r="AG27" s="1121"/>
      <c r="AH27" s="1120"/>
      <c r="AI27" s="232"/>
      <c r="AJ27" s="232"/>
      <c r="AK27" s="232"/>
      <c r="AL27" s="232"/>
      <c r="AM27" s="232"/>
      <c r="AN27" s="232"/>
      <c r="AO27" s="232"/>
      <c r="AP27" s="232"/>
      <c r="AQ27" s="232"/>
      <c r="AR27" s="232"/>
      <c r="AS27" s="210"/>
    </row>
    <row r="28" spans="1:47" s="1" customFormat="1" ht="99.75" customHeight="1">
      <c r="A28" s="39"/>
      <c r="B28" s="39"/>
      <c r="C28" s="1114" t="s">
        <v>194</v>
      </c>
      <c r="D28" s="1114" t="s">
        <v>68</v>
      </c>
      <c r="E28" s="1114" t="s">
        <v>195</v>
      </c>
      <c r="F28" s="1114" t="s">
        <v>196</v>
      </c>
      <c r="G28" s="1114" t="s">
        <v>197</v>
      </c>
      <c r="H28" s="1114" t="s">
        <v>72</v>
      </c>
      <c r="I28" s="1113">
        <v>1</v>
      </c>
      <c r="J28" s="1113">
        <v>1</v>
      </c>
      <c r="K28" s="41"/>
      <c r="L28" s="39"/>
      <c r="M28" s="44" t="s">
        <v>1030</v>
      </c>
      <c r="N28" s="39">
        <v>1</v>
      </c>
      <c r="O28" s="39" t="s">
        <v>72</v>
      </c>
      <c r="P28" s="39">
        <v>1</v>
      </c>
      <c r="Q28" s="39">
        <v>0</v>
      </c>
      <c r="R28" s="39">
        <v>0</v>
      </c>
      <c r="S28" s="39">
        <v>0</v>
      </c>
      <c r="T28" s="45"/>
      <c r="U28" s="39"/>
      <c r="V28" s="1116">
        <v>212064944.40000001</v>
      </c>
      <c r="W28" s="1122"/>
      <c r="X28" s="1116">
        <f>V28</f>
        <v>212064944.40000001</v>
      </c>
      <c r="Y28" s="239"/>
      <c r="Z28" s="239"/>
      <c r="AA28" s="239"/>
      <c r="AB28" s="239"/>
      <c r="AC28" s="239">
        <v>33043118</v>
      </c>
      <c r="AD28" s="239">
        <v>28147450</v>
      </c>
      <c r="AE28" s="239"/>
      <c r="AF28" s="239"/>
      <c r="AG28" s="239">
        <f t="shared" ref="AG28:AG46" si="9">+AC28+AD28+AE28+AF28</f>
        <v>61190568</v>
      </c>
      <c r="AH28" s="1119">
        <f>+(AG28+AG29)/X28</f>
        <v>0.57709272197842798</v>
      </c>
      <c r="AI28" s="239"/>
      <c r="AJ28" s="239"/>
      <c r="AK28" s="239"/>
      <c r="AL28" s="239"/>
      <c r="AM28" s="239"/>
      <c r="AN28" s="239"/>
      <c r="AO28" s="239"/>
      <c r="AP28" s="239"/>
      <c r="AQ28" s="239"/>
      <c r="AR28" s="239"/>
      <c r="AS28" s="210"/>
    </row>
    <row r="29" spans="1:47" s="1" customFormat="1" ht="108" customHeight="1">
      <c r="A29" s="1114" t="s">
        <v>1031</v>
      </c>
      <c r="B29" s="1114" t="s">
        <v>193</v>
      </c>
      <c r="C29" s="1114"/>
      <c r="D29" s="1114"/>
      <c r="E29" s="1114"/>
      <c r="F29" s="1114"/>
      <c r="G29" s="1114"/>
      <c r="H29" s="1114"/>
      <c r="I29" s="1113"/>
      <c r="J29" s="1113"/>
      <c r="K29" s="41"/>
      <c r="L29" s="39" t="s">
        <v>1032</v>
      </c>
      <c r="M29" s="44" t="s">
        <v>1033</v>
      </c>
      <c r="N29" s="39">
        <v>1</v>
      </c>
      <c r="O29" s="39" t="s">
        <v>72</v>
      </c>
      <c r="P29" s="39">
        <v>1</v>
      </c>
      <c r="Q29" s="39">
        <v>0</v>
      </c>
      <c r="R29" s="39">
        <v>0</v>
      </c>
      <c r="S29" s="39">
        <v>0</v>
      </c>
      <c r="T29" s="39" t="s">
        <v>1034</v>
      </c>
      <c r="U29" s="39"/>
      <c r="V29" s="1116"/>
      <c r="W29" s="1123"/>
      <c r="X29" s="1116"/>
      <c r="Y29" s="239"/>
      <c r="Z29" s="239"/>
      <c r="AA29" s="239"/>
      <c r="AB29" s="239"/>
      <c r="AC29" s="239">
        <v>33043118</v>
      </c>
      <c r="AD29" s="239">
        <v>28147450</v>
      </c>
      <c r="AE29" s="239"/>
      <c r="AF29" s="239"/>
      <c r="AG29" s="239">
        <f t="shared" si="9"/>
        <v>61190568</v>
      </c>
      <c r="AH29" s="1120"/>
      <c r="AI29" s="239"/>
      <c r="AJ29" s="239"/>
      <c r="AK29" s="239"/>
      <c r="AL29" s="239"/>
      <c r="AM29" s="239"/>
      <c r="AN29" s="239"/>
      <c r="AO29" s="239"/>
      <c r="AP29" s="239"/>
      <c r="AQ29" s="239" t="s">
        <v>204</v>
      </c>
      <c r="AR29" s="239" t="s">
        <v>204</v>
      </c>
      <c r="AS29" s="1100" t="s">
        <v>1035</v>
      </c>
    </row>
    <row r="30" spans="1:47" s="1" customFormat="1" ht="108" customHeight="1">
      <c r="A30" s="1114"/>
      <c r="B30" s="1114"/>
      <c r="C30" s="1114"/>
      <c r="D30" s="1114"/>
      <c r="E30" s="1114"/>
      <c r="F30" s="1114"/>
      <c r="G30" s="1114" t="s">
        <v>200</v>
      </c>
      <c r="H30" s="1114" t="s">
        <v>93</v>
      </c>
      <c r="I30" s="1113" t="s">
        <v>69</v>
      </c>
      <c r="J30" s="1113">
        <v>100</v>
      </c>
      <c r="K30" s="41"/>
      <c r="L30" s="39"/>
      <c r="M30" s="44" t="s">
        <v>1036</v>
      </c>
      <c r="N30" s="39">
        <v>4</v>
      </c>
      <c r="O30" s="39" t="s">
        <v>72</v>
      </c>
      <c r="P30" s="39">
        <v>1</v>
      </c>
      <c r="Q30" s="39">
        <v>1</v>
      </c>
      <c r="R30" s="39">
        <v>1</v>
      </c>
      <c r="S30" s="39">
        <v>1</v>
      </c>
      <c r="T30" s="39"/>
      <c r="U30" s="39"/>
      <c r="V30" s="1116">
        <f>212064944.4+525623619-10388688</f>
        <v>727299875.39999998</v>
      </c>
      <c r="W30" s="42"/>
      <c r="X30" s="1116">
        <f>V30</f>
        <v>727299875.39999998</v>
      </c>
      <c r="Y30" s="239"/>
      <c r="Z30" s="239"/>
      <c r="AA30" s="239"/>
      <c r="AB30" s="239"/>
      <c r="AC30" s="239">
        <v>33043118</v>
      </c>
      <c r="AD30" s="239">
        <v>28147450</v>
      </c>
      <c r="AE30" s="239"/>
      <c r="AF30" s="239"/>
      <c r="AG30" s="239">
        <f t="shared" si="9"/>
        <v>61190568</v>
      </c>
      <c r="AH30" s="1119">
        <f>+(AG30+AG31)/X30</f>
        <v>0.16826778078669805</v>
      </c>
      <c r="AI30" s="239"/>
      <c r="AJ30" s="239"/>
      <c r="AK30" s="239"/>
      <c r="AL30" s="239"/>
      <c r="AM30" s="239"/>
      <c r="AN30" s="239"/>
      <c r="AO30" s="239"/>
      <c r="AP30" s="239"/>
      <c r="AQ30" s="239"/>
      <c r="AR30" s="239"/>
      <c r="AS30" s="1101"/>
    </row>
    <row r="31" spans="1:47" s="1" customFormat="1" ht="108" customHeight="1">
      <c r="A31" s="1114"/>
      <c r="B31" s="1114"/>
      <c r="C31" s="1114"/>
      <c r="D31" s="1114"/>
      <c r="E31" s="1114"/>
      <c r="F31" s="1114"/>
      <c r="G31" s="1114"/>
      <c r="H31" s="1114"/>
      <c r="I31" s="1113"/>
      <c r="J31" s="1113"/>
      <c r="K31" s="41"/>
      <c r="L31" s="1114" t="s">
        <v>202</v>
      </c>
      <c r="M31" s="44" t="s">
        <v>203</v>
      </c>
      <c r="N31" s="39">
        <v>100</v>
      </c>
      <c r="O31" s="272" t="s">
        <v>98</v>
      </c>
      <c r="P31" s="39">
        <v>25</v>
      </c>
      <c r="Q31" s="39">
        <v>25</v>
      </c>
      <c r="R31" s="39">
        <v>25</v>
      </c>
      <c r="S31" s="39">
        <v>25</v>
      </c>
      <c r="T31" s="39" t="s">
        <v>1037</v>
      </c>
      <c r="U31" s="39"/>
      <c r="V31" s="1116"/>
      <c r="W31" s="42"/>
      <c r="X31" s="1116"/>
      <c r="Y31" s="239"/>
      <c r="Z31" s="239"/>
      <c r="AA31" s="239"/>
      <c r="AB31" s="239"/>
      <c r="AC31" s="239">
        <v>33043118</v>
      </c>
      <c r="AD31" s="239">
        <v>28147450</v>
      </c>
      <c r="AE31" s="239"/>
      <c r="AF31" s="239"/>
      <c r="AG31" s="239">
        <f t="shared" si="9"/>
        <v>61190568</v>
      </c>
      <c r="AH31" s="1120"/>
      <c r="AI31" s="239"/>
      <c r="AJ31" s="239"/>
      <c r="AK31" s="239"/>
      <c r="AL31" s="239"/>
      <c r="AM31" s="239"/>
      <c r="AN31" s="239"/>
      <c r="AO31" s="239"/>
      <c r="AP31" s="239"/>
      <c r="AQ31" s="239" t="s">
        <v>204</v>
      </c>
      <c r="AR31" s="239" t="s">
        <v>204</v>
      </c>
      <c r="AS31" s="1101"/>
    </row>
    <row r="32" spans="1:47" s="1" customFormat="1" ht="108" customHeight="1">
      <c r="A32" s="1114"/>
      <c r="B32" s="1114"/>
      <c r="C32" s="1114"/>
      <c r="D32" s="1114"/>
      <c r="E32" s="1114"/>
      <c r="F32" s="1114"/>
      <c r="G32" s="1114"/>
      <c r="H32" s="1114"/>
      <c r="I32" s="1113"/>
      <c r="J32" s="1113"/>
      <c r="K32" s="41"/>
      <c r="L32" s="1114"/>
      <c r="M32" s="44" t="s">
        <v>1038</v>
      </c>
      <c r="N32" s="39">
        <v>100</v>
      </c>
      <c r="O32" s="272" t="s">
        <v>98</v>
      </c>
      <c r="P32" s="39">
        <v>25</v>
      </c>
      <c r="Q32" s="39">
        <v>25</v>
      </c>
      <c r="R32" s="39">
        <v>25</v>
      </c>
      <c r="S32" s="39">
        <v>25</v>
      </c>
      <c r="T32" s="39" t="s">
        <v>1039</v>
      </c>
      <c r="U32" s="39"/>
      <c r="V32" s="42">
        <f>27783000+1271595752+480000000+960000000+840000000+7350000+25252500+31500000</f>
        <v>3643481252</v>
      </c>
      <c r="W32" s="42"/>
      <c r="X32" s="42">
        <f>+V32+W32</f>
        <v>3643481252</v>
      </c>
      <c r="Y32" s="239"/>
      <c r="Z32" s="239"/>
      <c r="AA32" s="239"/>
      <c r="AB32" s="239"/>
      <c r="AC32" s="239">
        <f>80999967+86454979+379579286+254708340+7637248</f>
        <v>809379820</v>
      </c>
      <c r="AD32" s="239">
        <v>937758158</v>
      </c>
      <c r="AE32" s="239"/>
      <c r="AF32" s="239"/>
      <c r="AG32" s="239">
        <f t="shared" si="9"/>
        <v>1747137978</v>
      </c>
      <c r="AH32" s="325">
        <f t="shared" ref="AH32:AH45" si="10">+AG32/X32</f>
        <v>0.47952434969740859</v>
      </c>
      <c r="AI32" s="239"/>
      <c r="AJ32" s="239"/>
      <c r="AK32" s="239"/>
      <c r="AL32" s="239"/>
      <c r="AM32" s="239"/>
      <c r="AN32" s="239"/>
      <c r="AO32" s="239"/>
      <c r="AP32" s="239"/>
      <c r="AQ32" s="239"/>
      <c r="AR32" s="239"/>
      <c r="AS32" s="1101"/>
    </row>
    <row r="33" spans="1:46" s="1" customFormat="1" ht="108" customHeight="1">
      <c r="A33" s="1114"/>
      <c r="B33" s="1114"/>
      <c r="C33" s="1114"/>
      <c r="D33" s="1114"/>
      <c r="E33" s="1114"/>
      <c r="F33" s="1114"/>
      <c r="G33" s="1114"/>
      <c r="H33" s="1114"/>
      <c r="I33" s="1113"/>
      <c r="J33" s="1113"/>
      <c r="K33" s="41"/>
      <c r="L33" s="1114"/>
      <c r="M33" s="44" t="s">
        <v>1040</v>
      </c>
      <c r="N33" s="39">
        <v>100</v>
      </c>
      <c r="O33" s="272" t="s">
        <v>98</v>
      </c>
      <c r="P33" s="39">
        <v>25</v>
      </c>
      <c r="Q33" s="39">
        <v>25</v>
      </c>
      <c r="R33" s="39">
        <v>25</v>
      </c>
      <c r="S33" s="39">
        <v>25</v>
      </c>
      <c r="T33" s="39" t="s">
        <v>1041</v>
      </c>
      <c r="U33" s="39"/>
      <c r="V33" s="42">
        <v>1000000000</v>
      </c>
      <c r="W33" s="42">
        <v>0</v>
      </c>
      <c r="X33" s="42">
        <f t="shared" ref="X33:X35" si="11">+V33+W33</f>
        <v>1000000000</v>
      </c>
      <c r="Y33" s="239"/>
      <c r="Z33" s="239"/>
      <c r="AA33" s="239"/>
      <c r="AB33" s="239"/>
      <c r="AC33" s="239">
        <v>171792429</v>
      </c>
      <c r="AD33" s="239">
        <v>288402460</v>
      </c>
      <c r="AE33" s="239"/>
      <c r="AF33" s="239"/>
      <c r="AG33" s="239">
        <f t="shared" si="9"/>
        <v>460194889</v>
      </c>
      <c r="AH33" s="325">
        <f t="shared" si="10"/>
        <v>0.460194889</v>
      </c>
      <c r="AI33" s="239"/>
      <c r="AJ33" s="239"/>
      <c r="AK33" s="239"/>
      <c r="AL33" s="239"/>
      <c r="AM33" s="239"/>
      <c r="AN33" s="239"/>
      <c r="AO33" s="239"/>
      <c r="AP33" s="239"/>
      <c r="AQ33" s="239" t="s">
        <v>204</v>
      </c>
      <c r="AR33" s="239" t="s">
        <v>204</v>
      </c>
      <c r="AS33" s="1101"/>
      <c r="AT33" s="146"/>
    </row>
    <row r="34" spans="1:46" s="1" customFormat="1" ht="108" customHeight="1">
      <c r="A34" s="1114"/>
      <c r="B34" s="1114"/>
      <c r="C34" s="1114"/>
      <c r="D34" s="1114"/>
      <c r="E34" s="1114"/>
      <c r="F34" s="1114"/>
      <c r="G34" s="1114"/>
      <c r="H34" s="1114"/>
      <c r="I34" s="1113"/>
      <c r="J34" s="1113"/>
      <c r="K34" s="41"/>
      <c r="L34" s="1114"/>
      <c r="M34" s="161" t="s">
        <v>1042</v>
      </c>
      <c r="N34" s="39">
        <v>100</v>
      </c>
      <c r="O34" s="272" t="s">
        <v>98</v>
      </c>
      <c r="P34" s="39">
        <v>25</v>
      </c>
      <c r="Q34" s="39">
        <v>25</v>
      </c>
      <c r="R34" s="39">
        <v>25</v>
      </c>
      <c r="S34" s="39">
        <v>25</v>
      </c>
      <c r="T34" s="39">
        <v>1010100</v>
      </c>
      <c r="U34" s="39"/>
      <c r="V34" s="42">
        <v>2026187055</v>
      </c>
      <c r="W34" s="42">
        <v>9703337</v>
      </c>
      <c r="X34" s="42">
        <f t="shared" si="11"/>
        <v>2035890392</v>
      </c>
      <c r="Y34" s="239"/>
      <c r="Z34" s="239"/>
      <c r="AA34" s="239"/>
      <c r="AB34" s="239"/>
      <c r="AC34" s="239">
        <v>362811432</v>
      </c>
      <c r="AD34" s="239">
        <v>398889410</v>
      </c>
      <c r="AE34" s="239"/>
      <c r="AF34" s="239"/>
      <c r="AG34" s="239">
        <f t="shared" si="9"/>
        <v>761700842</v>
      </c>
      <c r="AH34" s="325">
        <f t="shared" si="10"/>
        <v>0.37413646873775314</v>
      </c>
      <c r="AI34" s="239"/>
      <c r="AJ34" s="239"/>
      <c r="AK34" s="239"/>
      <c r="AL34" s="239"/>
      <c r="AM34" s="239"/>
      <c r="AN34" s="239"/>
      <c r="AO34" s="239"/>
      <c r="AP34" s="239"/>
      <c r="AQ34" s="239" t="s">
        <v>204</v>
      </c>
      <c r="AR34" s="239" t="s">
        <v>204</v>
      </c>
      <c r="AS34" s="1101"/>
      <c r="AT34" s="146"/>
    </row>
    <row r="35" spans="1:46" s="1" customFormat="1" ht="108" customHeight="1">
      <c r="A35" s="1114"/>
      <c r="B35" s="1114"/>
      <c r="C35" s="1114"/>
      <c r="D35" s="1114"/>
      <c r="E35" s="1114"/>
      <c r="F35" s="1114"/>
      <c r="G35" s="40" t="s">
        <v>207</v>
      </c>
      <c r="H35" s="40" t="s">
        <v>93</v>
      </c>
      <c r="I35" s="43" t="s">
        <v>69</v>
      </c>
      <c r="J35" s="43">
        <v>100</v>
      </c>
      <c r="K35" s="41"/>
      <c r="L35" s="1114"/>
      <c r="M35" s="44" t="s">
        <v>1043</v>
      </c>
      <c r="N35" s="39">
        <v>100</v>
      </c>
      <c r="O35" s="272" t="s">
        <v>98</v>
      </c>
      <c r="P35" s="39">
        <v>15</v>
      </c>
      <c r="Q35" s="39">
        <v>25</v>
      </c>
      <c r="R35" s="39">
        <v>25</v>
      </c>
      <c r="S35" s="39">
        <v>35</v>
      </c>
      <c r="T35" s="39" t="s">
        <v>1044</v>
      </c>
      <c r="U35" s="39"/>
      <c r="V35" s="42">
        <f>3000000000+25000000+56700000-48000000-48000000-342300000-67515148.8-164049600-1101853184.19-332238404.887192</f>
        <v>977743662.12280774</v>
      </c>
      <c r="W35" s="42"/>
      <c r="X35" s="42">
        <f t="shared" si="11"/>
        <v>977743662.12280774</v>
      </c>
      <c r="Y35" s="239"/>
      <c r="Z35" s="239"/>
      <c r="AA35" s="239"/>
      <c r="AB35" s="239"/>
      <c r="AC35" s="239">
        <f>26099150+13049575+51480000</f>
        <v>90628725</v>
      </c>
      <c r="AD35" s="239">
        <f>26099150+13049575+51480000</f>
        <v>90628725</v>
      </c>
      <c r="AE35" s="239"/>
      <c r="AF35" s="239"/>
      <c r="AG35" s="239">
        <f t="shared" si="9"/>
        <v>181257450</v>
      </c>
      <c r="AH35" s="325">
        <f t="shared" si="10"/>
        <v>0.1853834057144044</v>
      </c>
      <c r="AI35" s="239"/>
      <c r="AJ35" s="239"/>
      <c r="AK35" s="239"/>
      <c r="AL35" s="239"/>
      <c r="AM35" s="239"/>
      <c r="AN35" s="239"/>
      <c r="AO35" s="239"/>
      <c r="AP35" s="239"/>
      <c r="AQ35" s="239" t="s">
        <v>204</v>
      </c>
      <c r="AR35" s="239" t="s">
        <v>204</v>
      </c>
      <c r="AS35" s="1101"/>
      <c r="AT35" s="146"/>
    </row>
    <row r="36" spans="1:46" s="1" customFormat="1" ht="108" customHeight="1">
      <c r="A36" s="1114"/>
      <c r="B36" s="1114"/>
      <c r="C36" s="1114"/>
      <c r="D36" s="1114"/>
      <c r="E36" s="1114"/>
      <c r="F36" s="1114"/>
      <c r="G36" s="1114" t="s">
        <v>209</v>
      </c>
      <c r="H36" s="1114" t="s">
        <v>72</v>
      </c>
      <c r="I36" s="1113">
        <v>1</v>
      </c>
      <c r="J36" s="1113">
        <v>1</v>
      </c>
      <c r="K36" s="41"/>
      <c r="L36" s="1114"/>
      <c r="M36" s="44" t="s">
        <v>1045</v>
      </c>
      <c r="N36" s="39">
        <v>1</v>
      </c>
      <c r="O36" s="39" t="s">
        <v>86</v>
      </c>
      <c r="P36" s="39">
        <v>1</v>
      </c>
      <c r="Q36" s="39">
        <v>0</v>
      </c>
      <c r="R36" s="39">
        <v>0</v>
      </c>
      <c r="S36" s="39">
        <v>0</v>
      </c>
      <c r="T36" s="39"/>
      <c r="U36" s="39"/>
      <c r="V36" s="42"/>
      <c r="W36" s="42"/>
      <c r="X36" s="42"/>
      <c r="Y36" s="239"/>
      <c r="Z36" s="239"/>
      <c r="AA36" s="239"/>
      <c r="AB36" s="239"/>
      <c r="AC36" s="239"/>
      <c r="AD36" s="239"/>
      <c r="AE36" s="239"/>
      <c r="AF36" s="239"/>
      <c r="AG36" s="239">
        <f t="shared" si="9"/>
        <v>0</v>
      </c>
      <c r="AH36" s="325" t="e">
        <f t="shared" si="10"/>
        <v>#DIV/0!</v>
      </c>
      <c r="AI36" s="239"/>
      <c r="AJ36" s="239"/>
      <c r="AK36" s="239"/>
      <c r="AL36" s="239"/>
      <c r="AM36" s="239"/>
      <c r="AN36" s="239"/>
      <c r="AO36" s="239"/>
      <c r="AP36" s="239"/>
      <c r="AQ36" s="239"/>
      <c r="AR36" s="239"/>
      <c r="AS36" s="1101"/>
      <c r="AT36" s="146"/>
    </row>
    <row r="37" spans="1:46" s="1" customFormat="1" ht="99" customHeight="1">
      <c r="A37" s="1114"/>
      <c r="B37" s="1114"/>
      <c r="C37" s="1114"/>
      <c r="D37" s="1114"/>
      <c r="E37" s="1114"/>
      <c r="F37" s="1114"/>
      <c r="G37" s="1114"/>
      <c r="H37" s="1114"/>
      <c r="I37" s="1113"/>
      <c r="J37" s="1113"/>
      <c r="K37" s="41"/>
      <c r="L37" s="1114"/>
      <c r="M37" s="44" t="s">
        <v>1046</v>
      </c>
      <c r="N37" s="39">
        <v>100</v>
      </c>
      <c r="O37" s="272" t="s">
        <v>98</v>
      </c>
      <c r="P37" s="39">
        <v>25</v>
      </c>
      <c r="Q37" s="39">
        <v>25</v>
      </c>
      <c r="R37" s="39">
        <v>25</v>
      </c>
      <c r="S37" s="39">
        <v>25</v>
      </c>
      <c r="T37" s="39" t="s">
        <v>1047</v>
      </c>
      <c r="U37" s="39"/>
      <c r="V37" s="42">
        <v>733790080</v>
      </c>
      <c r="W37" s="42"/>
      <c r="X37" s="42">
        <f t="shared" ref="X37:X45" si="12">V37</f>
        <v>733790080</v>
      </c>
      <c r="Y37" s="239"/>
      <c r="Z37" s="239"/>
      <c r="AA37" s="239"/>
      <c r="AB37" s="239"/>
      <c r="AC37" s="239">
        <v>161451931</v>
      </c>
      <c r="AD37" s="239">
        <v>89406829</v>
      </c>
      <c r="AE37" s="239"/>
      <c r="AF37" s="239"/>
      <c r="AG37" s="239">
        <f t="shared" si="9"/>
        <v>250858760</v>
      </c>
      <c r="AH37" s="325">
        <f t="shared" si="10"/>
        <v>0.34186719994906445</v>
      </c>
      <c r="AI37" s="239"/>
      <c r="AJ37" s="239"/>
      <c r="AK37" s="239"/>
      <c r="AL37" s="239"/>
      <c r="AM37" s="239"/>
      <c r="AN37" s="239"/>
      <c r="AO37" s="239"/>
      <c r="AP37" s="239"/>
      <c r="AQ37" s="239" t="s">
        <v>204</v>
      </c>
      <c r="AR37" s="239" t="s">
        <v>204</v>
      </c>
      <c r="AS37" s="1101"/>
    </row>
    <row r="38" spans="1:46" s="1" customFormat="1" ht="99" customHeight="1">
      <c r="A38" s="1114"/>
      <c r="B38" s="1114"/>
      <c r="C38" s="767" t="s">
        <v>212</v>
      </c>
      <c r="D38" s="767" t="s">
        <v>68</v>
      </c>
      <c r="E38" s="767">
        <v>84</v>
      </c>
      <c r="F38" s="767" t="s">
        <v>213</v>
      </c>
      <c r="G38" s="767" t="s">
        <v>214</v>
      </c>
      <c r="H38" s="1114" t="s">
        <v>93</v>
      </c>
      <c r="I38" s="1113">
        <v>84</v>
      </c>
      <c r="J38" s="1113">
        <v>84</v>
      </c>
      <c r="K38" s="1113"/>
      <c r="L38" s="1114" t="s">
        <v>215</v>
      </c>
      <c r="M38" s="49" t="s">
        <v>216</v>
      </c>
      <c r="N38" s="39">
        <v>2</v>
      </c>
      <c r="O38" s="39" t="s">
        <v>72</v>
      </c>
      <c r="P38" s="39">
        <v>0</v>
      </c>
      <c r="Q38" s="39">
        <v>1</v>
      </c>
      <c r="R38" s="39">
        <v>0</v>
      </c>
      <c r="S38" s="39">
        <v>1</v>
      </c>
      <c r="T38" s="39"/>
      <c r="U38" s="39"/>
      <c r="V38" s="42"/>
      <c r="W38" s="42"/>
      <c r="X38" s="42"/>
      <c r="Y38" s="239"/>
      <c r="Z38" s="239"/>
      <c r="AA38" s="239"/>
      <c r="AB38" s="239"/>
      <c r="AC38" s="239"/>
      <c r="AD38" s="239"/>
      <c r="AE38" s="239"/>
      <c r="AF38" s="239"/>
      <c r="AG38" s="239">
        <f t="shared" si="9"/>
        <v>0</v>
      </c>
      <c r="AH38" s="325" t="e">
        <f t="shared" si="10"/>
        <v>#DIV/0!</v>
      </c>
      <c r="AI38" s="239"/>
      <c r="AJ38" s="239"/>
      <c r="AK38" s="239"/>
      <c r="AL38" s="239"/>
      <c r="AM38" s="239"/>
      <c r="AN38" s="239"/>
      <c r="AO38" s="239"/>
      <c r="AP38" s="239"/>
      <c r="AQ38" s="239"/>
      <c r="AR38" s="239"/>
      <c r="AS38" s="1101"/>
    </row>
    <row r="39" spans="1:46" s="1" customFormat="1" ht="99" customHeight="1">
      <c r="A39" s="1114"/>
      <c r="B39" s="1114"/>
      <c r="C39" s="764"/>
      <c r="D39" s="764"/>
      <c r="E39" s="764"/>
      <c r="F39" s="764"/>
      <c r="G39" s="764"/>
      <c r="H39" s="1114"/>
      <c r="I39" s="1113"/>
      <c r="J39" s="1113"/>
      <c r="K39" s="1113"/>
      <c r="L39" s="1114"/>
      <c r="M39" s="44" t="s">
        <v>217</v>
      </c>
      <c r="N39" s="39">
        <v>12</v>
      </c>
      <c r="O39" s="39" t="s">
        <v>72</v>
      </c>
      <c r="P39" s="39">
        <v>3</v>
      </c>
      <c r="Q39" s="39">
        <v>3</v>
      </c>
      <c r="R39" s="39">
        <v>3</v>
      </c>
      <c r="S39" s="39">
        <v>3</v>
      </c>
      <c r="T39" s="45">
        <v>4100100</v>
      </c>
      <c r="U39" s="39"/>
      <c r="V39" s="42">
        <v>8108027598</v>
      </c>
      <c r="W39" s="42">
        <f>9339523835-300000000+1059374699</f>
        <v>10098898534</v>
      </c>
      <c r="X39" s="42">
        <f>+V39+W39</f>
        <v>18206926132</v>
      </c>
      <c r="Y39" s="239"/>
      <c r="Z39" s="239"/>
      <c r="AA39" s="239"/>
      <c r="AB39" s="239"/>
      <c r="AC39" s="239">
        <v>9793078908</v>
      </c>
      <c r="AD39" s="239">
        <v>2841552484</v>
      </c>
      <c r="AE39" s="239"/>
      <c r="AF39" s="239"/>
      <c r="AG39" s="239">
        <f t="shared" si="9"/>
        <v>12634631392</v>
      </c>
      <c r="AH39" s="325">
        <f t="shared" si="10"/>
        <v>0.69394643007826096</v>
      </c>
      <c r="AI39" s="239"/>
      <c r="AJ39" s="239"/>
      <c r="AK39" s="239"/>
      <c r="AL39" s="239"/>
      <c r="AM39" s="239"/>
      <c r="AN39" s="239"/>
      <c r="AO39" s="239"/>
      <c r="AP39" s="239"/>
      <c r="AQ39" s="239"/>
      <c r="AR39" s="239"/>
      <c r="AS39" s="1101"/>
    </row>
    <row r="40" spans="1:46" s="1" customFormat="1" ht="99" customHeight="1">
      <c r="A40" s="1114"/>
      <c r="B40" s="1114"/>
      <c r="C40" s="764"/>
      <c r="D40" s="764"/>
      <c r="E40" s="764"/>
      <c r="F40" s="764"/>
      <c r="G40" s="764"/>
      <c r="H40" s="1114"/>
      <c r="I40" s="1113"/>
      <c r="J40" s="1113"/>
      <c r="K40" s="1113"/>
      <c r="L40" s="1114"/>
      <c r="M40" s="44" t="s">
        <v>220</v>
      </c>
      <c r="N40" s="39">
        <v>12</v>
      </c>
      <c r="O40" s="39" t="s">
        <v>142</v>
      </c>
      <c r="P40" s="39">
        <v>3</v>
      </c>
      <c r="Q40" s="39">
        <v>3</v>
      </c>
      <c r="R40" s="39">
        <v>3</v>
      </c>
      <c r="S40" s="39">
        <v>3</v>
      </c>
      <c r="T40" s="39"/>
      <c r="U40" s="39"/>
      <c r="V40" s="42"/>
      <c r="W40" s="42"/>
      <c r="X40" s="42"/>
      <c r="Y40" s="239"/>
      <c r="Z40" s="239"/>
      <c r="AA40" s="239"/>
      <c r="AB40" s="239"/>
      <c r="AC40" s="239"/>
      <c r="AD40" s="239"/>
      <c r="AE40" s="239"/>
      <c r="AF40" s="239"/>
      <c r="AG40" s="239">
        <f t="shared" si="9"/>
        <v>0</v>
      </c>
      <c r="AH40" s="325" t="e">
        <f t="shared" si="10"/>
        <v>#DIV/0!</v>
      </c>
      <c r="AI40" s="239"/>
      <c r="AJ40" s="239"/>
      <c r="AK40" s="239"/>
      <c r="AL40" s="239"/>
      <c r="AM40" s="239"/>
      <c r="AN40" s="239"/>
      <c r="AO40" s="239"/>
      <c r="AP40" s="239"/>
      <c r="AQ40" s="239"/>
      <c r="AR40" s="239"/>
      <c r="AS40" s="1101"/>
    </row>
    <row r="41" spans="1:46" s="1" customFormat="1" ht="99" customHeight="1">
      <c r="A41" s="1114"/>
      <c r="B41" s="1114"/>
      <c r="C41" s="764"/>
      <c r="D41" s="764"/>
      <c r="E41" s="764"/>
      <c r="F41" s="764"/>
      <c r="G41" s="764"/>
      <c r="H41" s="1114"/>
      <c r="I41" s="1113"/>
      <c r="J41" s="1113"/>
      <c r="K41" s="1113"/>
      <c r="L41" s="1114"/>
      <c r="M41" s="44" t="s">
        <v>223</v>
      </c>
      <c r="N41" s="39">
        <v>1</v>
      </c>
      <c r="O41" s="39" t="s">
        <v>142</v>
      </c>
      <c r="P41" s="39">
        <v>0</v>
      </c>
      <c r="Q41" s="39">
        <v>0</v>
      </c>
      <c r="R41" s="39">
        <v>0</v>
      </c>
      <c r="S41" s="39">
        <v>1</v>
      </c>
      <c r="T41" s="39"/>
      <c r="U41" s="39"/>
      <c r="V41" s="42"/>
      <c r="W41" s="42"/>
      <c r="X41" s="42"/>
      <c r="Y41" s="239"/>
      <c r="Z41" s="239"/>
      <c r="AA41" s="239"/>
      <c r="AB41" s="239"/>
      <c r="AC41" s="239"/>
      <c r="AD41" s="239"/>
      <c r="AE41" s="239"/>
      <c r="AF41" s="239"/>
      <c r="AG41" s="239">
        <f t="shared" si="9"/>
        <v>0</v>
      </c>
      <c r="AH41" s="325" t="e">
        <f t="shared" si="10"/>
        <v>#DIV/0!</v>
      </c>
      <c r="AI41" s="239"/>
      <c r="AJ41" s="239"/>
      <c r="AK41" s="239"/>
      <c r="AL41" s="239"/>
      <c r="AM41" s="239"/>
      <c r="AN41" s="239"/>
      <c r="AO41" s="239"/>
      <c r="AP41" s="239"/>
      <c r="AQ41" s="239"/>
      <c r="AR41" s="239"/>
      <c r="AS41" s="1101"/>
    </row>
    <row r="42" spans="1:46" s="1" customFormat="1" ht="126.75" customHeight="1">
      <c r="A42" s="1114"/>
      <c r="B42" s="1114"/>
      <c r="C42" s="764"/>
      <c r="D42" s="764"/>
      <c r="E42" s="764"/>
      <c r="F42" s="764"/>
      <c r="G42" s="764"/>
      <c r="H42" s="1114"/>
      <c r="I42" s="1113"/>
      <c r="J42" s="1113"/>
      <c r="K42" s="1113"/>
      <c r="L42" s="1114"/>
      <c r="M42" s="44" t="s">
        <v>226</v>
      </c>
      <c r="N42" s="39">
        <v>12</v>
      </c>
      <c r="O42" s="39" t="s">
        <v>142</v>
      </c>
      <c r="P42" s="39">
        <v>3</v>
      </c>
      <c r="Q42" s="39">
        <v>3</v>
      </c>
      <c r="R42" s="39">
        <v>3</v>
      </c>
      <c r="S42" s="39">
        <v>3</v>
      </c>
      <c r="T42" s="45"/>
      <c r="U42" s="39"/>
      <c r="V42" s="42"/>
      <c r="W42" s="42"/>
      <c r="X42" s="42"/>
      <c r="Y42" s="239"/>
      <c r="Z42" s="239"/>
      <c r="AA42" s="239"/>
      <c r="AB42" s="239"/>
      <c r="AC42" s="239"/>
      <c r="AD42" s="239"/>
      <c r="AE42" s="239"/>
      <c r="AF42" s="239"/>
      <c r="AG42" s="239">
        <f t="shared" si="9"/>
        <v>0</v>
      </c>
      <c r="AH42" s="325" t="e">
        <f t="shared" si="10"/>
        <v>#DIV/0!</v>
      </c>
      <c r="AI42" s="239"/>
      <c r="AJ42" s="239"/>
      <c r="AK42" s="239"/>
      <c r="AL42" s="239"/>
      <c r="AM42" s="239"/>
      <c r="AN42" s="239"/>
      <c r="AO42" s="239"/>
      <c r="AP42" s="239"/>
      <c r="AQ42" s="239" t="s">
        <v>204</v>
      </c>
      <c r="AR42" s="239" t="s">
        <v>204</v>
      </c>
      <c r="AS42" s="1101"/>
      <c r="AT42" s="1" t="s">
        <v>227</v>
      </c>
    </row>
    <row r="43" spans="1:46" s="1" customFormat="1" ht="126.75" customHeight="1">
      <c r="A43" s="1114"/>
      <c r="B43" s="1114"/>
      <c r="C43" s="765"/>
      <c r="D43" s="765"/>
      <c r="E43" s="765"/>
      <c r="F43" s="765"/>
      <c r="G43" s="765"/>
      <c r="H43" s="39"/>
      <c r="I43" s="43"/>
      <c r="J43" s="43"/>
      <c r="K43" s="43"/>
      <c r="L43" s="39"/>
      <c r="M43" s="44" t="s">
        <v>1048</v>
      </c>
      <c r="N43" s="39">
        <v>4</v>
      </c>
      <c r="O43" s="39" t="s">
        <v>142</v>
      </c>
      <c r="P43" s="39">
        <v>1</v>
      </c>
      <c r="Q43" s="39">
        <v>1</v>
      </c>
      <c r="R43" s="39">
        <v>1</v>
      </c>
      <c r="S43" s="39">
        <v>1</v>
      </c>
      <c r="T43" s="45">
        <v>4199999</v>
      </c>
      <c r="U43" s="39"/>
      <c r="V43" s="42">
        <v>3000000000</v>
      </c>
      <c r="W43" s="42">
        <v>0</v>
      </c>
      <c r="X43" s="42">
        <f>+V43+W43</f>
        <v>3000000000</v>
      </c>
      <c r="Y43" s="239"/>
      <c r="Z43" s="239"/>
      <c r="AA43" s="239"/>
      <c r="AB43" s="239"/>
      <c r="AC43" s="239">
        <v>1889855684</v>
      </c>
      <c r="AD43" s="239">
        <v>61890509</v>
      </c>
      <c r="AE43" s="239"/>
      <c r="AF43" s="239"/>
      <c r="AG43" s="239">
        <f t="shared" si="9"/>
        <v>1951746193</v>
      </c>
      <c r="AH43" s="325">
        <f t="shared" si="10"/>
        <v>0.65058206433333332</v>
      </c>
      <c r="AI43" s="239"/>
      <c r="AJ43" s="239"/>
      <c r="AK43" s="239"/>
      <c r="AL43" s="239"/>
      <c r="AM43" s="239"/>
      <c r="AN43" s="239"/>
      <c r="AO43" s="239"/>
      <c r="AP43" s="239"/>
      <c r="AQ43" s="239"/>
      <c r="AR43" s="239"/>
      <c r="AS43" s="1101"/>
    </row>
    <row r="44" spans="1:46" s="1" customFormat="1" ht="84" customHeight="1">
      <c r="A44" s="1114"/>
      <c r="B44" s="1114"/>
      <c r="C44" s="1114" t="s">
        <v>228</v>
      </c>
      <c r="D44" s="1114" t="s">
        <v>68</v>
      </c>
      <c r="E44" s="1114">
        <v>80</v>
      </c>
      <c r="F44" s="1114" t="s">
        <v>229</v>
      </c>
      <c r="G44" s="40" t="s">
        <v>230</v>
      </c>
      <c r="H44" s="40" t="s">
        <v>93</v>
      </c>
      <c r="I44" s="43">
        <v>0</v>
      </c>
      <c r="J44" s="43">
        <v>100</v>
      </c>
      <c r="K44" s="41"/>
      <c r="L44" s="1114" t="s">
        <v>231</v>
      </c>
      <c r="M44" s="49" t="s">
        <v>1049</v>
      </c>
      <c r="N44" s="39">
        <v>100</v>
      </c>
      <c r="O44" s="272" t="s">
        <v>98</v>
      </c>
      <c r="P44" s="39">
        <v>25</v>
      </c>
      <c r="Q44" s="39">
        <v>25</v>
      </c>
      <c r="R44" s="39">
        <v>25</v>
      </c>
      <c r="S44" s="39">
        <v>25</v>
      </c>
      <c r="T44" s="45">
        <v>3100003</v>
      </c>
      <c r="U44" s="39"/>
      <c r="V44" s="42">
        <v>160000000</v>
      </c>
      <c r="W44" s="42"/>
      <c r="X44" s="42">
        <f t="shared" si="12"/>
        <v>160000000</v>
      </c>
      <c r="Y44" s="239"/>
      <c r="Z44" s="239"/>
      <c r="AA44" s="239"/>
      <c r="AB44" s="239"/>
      <c r="AC44" s="239">
        <v>50965145</v>
      </c>
      <c r="AD44" s="239">
        <v>35430708</v>
      </c>
      <c r="AE44" s="239"/>
      <c r="AF44" s="239"/>
      <c r="AG44" s="239">
        <f t="shared" si="9"/>
        <v>86395853</v>
      </c>
      <c r="AH44" s="325">
        <f t="shared" si="10"/>
        <v>0.53997408125000002</v>
      </c>
      <c r="AI44" s="239"/>
      <c r="AJ44" s="239"/>
      <c r="AK44" s="239"/>
      <c r="AL44" s="239"/>
      <c r="AM44" s="239"/>
      <c r="AN44" s="239"/>
      <c r="AO44" s="239"/>
      <c r="AP44" s="239"/>
      <c r="AQ44" s="239" t="s">
        <v>204</v>
      </c>
      <c r="AR44" s="239" t="s">
        <v>204</v>
      </c>
      <c r="AS44" s="1101"/>
    </row>
    <row r="45" spans="1:46" s="1" customFormat="1" ht="89.25" customHeight="1">
      <c r="A45" s="1114"/>
      <c r="B45" s="1114"/>
      <c r="C45" s="1114"/>
      <c r="D45" s="1114"/>
      <c r="E45" s="1114"/>
      <c r="F45" s="1114"/>
      <c r="G45" s="40" t="s">
        <v>233</v>
      </c>
      <c r="H45" s="40" t="s">
        <v>93</v>
      </c>
      <c r="I45" s="43">
        <v>100</v>
      </c>
      <c r="J45" s="43">
        <v>100</v>
      </c>
      <c r="K45" s="41"/>
      <c r="L45" s="1114"/>
      <c r="M45" s="49" t="s">
        <v>1050</v>
      </c>
      <c r="N45" s="39">
        <v>100</v>
      </c>
      <c r="O45" s="272" t="s">
        <v>98</v>
      </c>
      <c r="P45" s="39">
        <v>25</v>
      </c>
      <c r="Q45" s="39">
        <v>25</v>
      </c>
      <c r="R45" s="39">
        <v>25</v>
      </c>
      <c r="S45" s="39">
        <v>25</v>
      </c>
      <c r="T45" s="39"/>
      <c r="U45" s="39"/>
      <c r="V45" s="42">
        <v>0</v>
      </c>
      <c r="W45" s="42"/>
      <c r="X45" s="42">
        <f t="shared" si="12"/>
        <v>0</v>
      </c>
      <c r="Y45" s="239"/>
      <c r="Z45" s="239"/>
      <c r="AA45" s="239"/>
      <c r="AB45" s="239"/>
      <c r="AC45" s="239">
        <v>0</v>
      </c>
      <c r="AD45" s="239"/>
      <c r="AE45" s="239"/>
      <c r="AF45" s="239"/>
      <c r="AG45" s="239">
        <f t="shared" si="9"/>
        <v>0</v>
      </c>
      <c r="AH45" s="325" t="e">
        <f t="shared" si="10"/>
        <v>#DIV/0!</v>
      </c>
      <c r="AI45" s="239"/>
      <c r="AJ45" s="239"/>
      <c r="AK45" s="239"/>
      <c r="AL45" s="239"/>
      <c r="AM45" s="239"/>
      <c r="AN45" s="239"/>
      <c r="AO45" s="239"/>
      <c r="AP45" s="239"/>
      <c r="AQ45" s="239" t="s">
        <v>204</v>
      </c>
      <c r="AR45" s="239" t="s">
        <v>204</v>
      </c>
      <c r="AS45" s="1101"/>
    </row>
    <row r="46" spans="1:46" s="1" customFormat="1" ht="95.25" customHeight="1">
      <c r="A46" s="1114"/>
      <c r="B46" s="1114"/>
      <c r="C46" s="1114"/>
      <c r="D46" s="1114"/>
      <c r="E46" s="1114"/>
      <c r="F46" s="767" t="s">
        <v>235</v>
      </c>
      <c r="G46" s="767" t="s">
        <v>236</v>
      </c>
      <c r="H46" s="40" t="s">
        <v>93</v>
      </c>
      <c r="I46" s="43" t="s">
        <v>69</v>
      </c>
      <c r="J46" s="43">
        <v>100</v>
      </c>
      <c r="K46" s="41"/>
      <c r="L46" s="43" t="s">
        <v>237</v>
      </c>
      <c r="M46" s="44" t="s">
        <v>1051</v>
      </c>
      <c r="N46" s="39">
        <v>4</v>
      </c>
      <c r="O46" s="39" t="s">
        <v>142</v>
      </c>
      <c r="P46" s="39">
        <v>1</v>
      </c>
      <c r="Q46" s="39">
        <v>1</v>
      </c>
      <c r="R46" s="39">
        <v>1</v>
      </c>
      <c r="S46" s="39">
        <v>1</v>
      </c>
      <c r="T46" s="39" t="s">
        <v>975</v>
      </c>
      <c r="U46" s="39"/>
      <c r="V46" s="42">
        <f>24000000+40000000</f>
        <v>64000000</v>
      </c>
      <c r="W46" s="42">
        <f>4000000+28000000+20000000</f>
        <v>52000000</v>
      </c>
      <c r="X46" s="42">
        <f>+V46+W46</f>
        <v>116000000</v>
      </c>
      <c r="Y46" s="239"/>
      <c r="Z46" s="239"/>
      <c r="AA46" s="239"/>
      <c r="AB46" s="239"/>
      <c r="AC46" s="239">
        <f>14000000+12000000</f>
        <v>26000000</v>
      </c>
      <c r="AD46" s="239">
        <f>21000000+16000000</f>
        <v>37000000</v>
      </c>
      <c r="AE46" s="239"/>
      <c r="AF46" s="239"/>
      <c r="AG46" s="239">
        <f t="shared" si="9"/>
        <v>63000000</v>
      </c>
      <c r="AH46" s="325">
        <f>+AG46/X46</f>
        <v>0.5431034482758621</v>
      </c>
      <c r="AI46" s="239"/>
      <c r="AJ46" s="239"/>
      <c r="AK46" s="239"/>
      <c r="AL46" s="239"/>
      <c r="AM46" s="239"/>
      <c r="AN46" s="239"/>
      <c r="AO46" s="239"/>
      <c r="AP46" s="239"/>
      <c r="AQ46" s="239" t="s">
        <v>204</v>
      </c>
      <c r="AR46" s="239" t="s">
        <v>204</v>
      </c>
      <c r="AS46" s="1102"/>
    </row>
    <row r="47" spans="1:46" s="1" customFormat="1" ht="95.25" customHeight="1">
      <c r="A47" s="39"/>
      <c r="B47" s="39"/>
      <c r="C47" s="39"/>
      <c r="D47" s="39"/>
      <c r="E47" s="39"/>
      <c r="F47" s="765"/>
      <c r="G47" s="765"/>
      <c r="H47" s="40"/>
      <c r="I47" s="43"/>
      <c r="J47" s="43"/>
      <c r="K47" s="41"/>
      <c r="L47" s="43"/>
      <c r="M47" s="44" t="s">
        <v>1052</v>
      </c>
      <c r="N47" s="39"/>
      <c r="O47" s="39"/>
      <c r="P47" s="39"/>
      <c r="Q47" s="39"/>
      <c r="R47" s="39"/>
      <c r="S47" s="39"/>
      <c r="T47" s="39"/>
      <c r="U47" s="39"/>
      <c r="V47" s="42"/>
      <c r="W47" s="42">
        <f>10796312394+4756073241+287826328</f>
        <v>15840211963</v>
      </c>
      <c r="X47" s="42">
        <f>+V47+W47</f>
        <v>15840211963</v>
      </c>
      <c r="Y47" s="239"/>
      <c r="Z47" s="239"/>
      <c r="AA47" s="239"/>
      <c r="AB47" s="239"/>
      <c r="AC47" s="239">
        <v>5489542635</v>
      </c>
      <c r="AD47" s="239">
        <v>5489542636</v>
      </c>
      <c r="AE47" s="239"/>
      <c r="AF47" s="239"/>
      <c r="AG47" s="239"/>
      <c r="AH47" s="325"/>
      <c r="AI47" s="239"/>
      <c r="AJ47" s="239"/>
      <c r="AK47" s="239"/>
      <c r="AL47" s="239"/>
      <c r="AM47" s="239"/>
      <c r="AN47" s="239"/>
      <c r="AO47" s="239"/>
      <c r="AP47" s="239"/>
      <c r="AQ47" s="239"/>
      <c r="AR47" s="239"/>
      <c r="AS47" s="207"/>
    </row>
    <row r="48" spans="1:46" s="1" customFormat="1" ht="95.25" customHeight="1">
      <c r="A48" s="39"/>
      <c r="B48" s="39"/>
      <c r="C48" s="39"/>
      <c r="D48" s="39"/>
      <c r="E48" s="39"/>
      <c r="F48" s="327"/>
      <c r="G48" s="327"/>
      <c r="H48" s="40"/>
      <c r="I48" s="43"/>
      <c r="J48" s="43"/>
      <c r="K48" s="41"/>
      <c r="L48" s="43"/>
      <c r="M48" s="44"/>
      <c r="N48" s="39"/>
      <c r="O48" s="39"/>
      <c r="P48" s="39"/>
      <c r="Q48" s="39"/>
      <c r="R48" s="39"/>
      <c r="S48" s="39"/>
      <c r="T48" s="39"/>
      <c r="U48" s="39"/>
      <c r="V48" s="42"/>
      <c r="W48" s="42"/>
      <c r="X48" s="42"/>
      <c r="Y48" s="239"/>
      <c r="Z48" s="239"/>
      <c r="AA48" s="239"/>
      <c r="AB48" s="239"/>
      <c r="AC48" s="239"/>
      <c r="AD48" s="239"/>
      <c r="AE48" s="239"/>
      <c r="AF48" s="239"/>
      <c r="AG48" s="239"/>
      <c r="AH48" s="325"/>
      <c r="AI48" s="239"/>
      <c r="AJ48" s="239"/>
      <c r="AK48" s="239"/>
      <c r="AL48" s="239"/>
      <c r="AM48" s="239"/>
      <c r="AN48" s="239"/>
      <c r="AO48" s="239"/>
      <c r="AP48" s="239"/>
      <c r="AQ48" s="239"/>
      <c r="AR48" s="239"/>
      <c r="AS48" s="207"/>
    </row>
    <row r="49" spans="1:44" s="1" customFormat="1" ht="39" customHeight="1">
      <c r="A49" s="1118" t="s">
        <v>979</v>
      </c>
      <c r="B49" s="1118"/>
      <c r="C49" s="1118"/>
      <c r="D49" s="1118"/>
      <c r="E49" s="1118"/>
      <c r="F49" s="1118"/>
      <c r="G49" s="1118"/>
      <c r="H49" s="1118"/>
      <c r="I49" s="1118"/>
      <c r="J49" s="1118"/>
      <c r="K49" s="1118"/>
      <c r="L49" s="1118"/>
      <c r="M49" s="1118"/>
      <c r="N49" s="198">
        <f>N46+N42+N41+N40+N39+N38+N36+N30+N29+N28</f>
        <v>50</v>
      </c>
      <c r="O49" s="198" t="s">
        <v>72</v>
      </c>
      <c r="P49" s="198">
        <f>P46+P42+P41+P40+P39+P38+P36+P30+P29+P28</f>
        <v>14</v>
      </c>
      <c r="Q49" s="198">
        <f>Q46+Q42+Q41+Q40+Q39+Q38+Q36+Q30+Q29+Q28</f>
        <v>12</v>
      </c>
      <c r="R49" s="198">
        <f>R46+R42+R41+R40+R39+R38+R36+R30+R29+R28</f>
        <v>11</v>
      </c>
      <c r="S49" s="198">
        <f>S46+S42+S41+S40+S39+S38+S36+S30+S29+S28</f>
        <v>13</v>
      </c>
      <c r="T49" s="200"/>
      <c r="U49" s="198"/>
      <c r="V49" s="1121">
        <f>SUM(V28:V46)</f>
        <v>20652594466.922806</v>
      </c>
      <c r="W49" s="1121">
        <f>SUM(W28:W47)</f>
        <v>26000813834</v>
      </c>
      <c r="X49" s="1121">
        <f>SUM(X28:X47)</f>
        <v>46653408300.922806</v>
      </c>
      <c r="Y49" s="276">
        <f>Y46+Y42+Y41+Y40+Y39+Y36+Y30+Y29+Y28</f>
        <v>0</v>
      </c>
      <c r="Z49" s="276">
        <f>Z46+Z42+Z41+Z40+Z39+Z36+Z30+Z29+Z28</f>
        <v>0</v>
      </c>
      <c r="AA49" s="276">
        <f>AA46+AA42+AA41+AA40+AA39+AA36+AA30+AA29+AA28</f>
        <v>0</v>
      </c>
      <c r="AB49" s="276">
        <f>AB46+AB42+AB41+AB40+AB39+AB36+AB30+AB29+AB28</f>
        <v>0</v>
      </c>
      <c r="AC49" s="1121">
        <f>SUM(AC28:AC47)</f>
        <v>18977679181</v>
      </c>
      <c r="AD49" s="1121">
        <f>SUM(AD28:AD47)</f>
        <v>10383091719</v>
      </c>
      <c r="AE49" s="1121">
        <f>SUM(AE28:AE46)</f>
        <v>0</v>
      </c>
      <c r="AF49" s="1121">
        <f>SUM(AF28:AF46)</f>
        <v>0</v>
      </c>
      <c r="AG49" s="1121">
        <f>SUM(AG28:AG46)</f>
        <v>18381685629</v>
      </c>
      <c r="AH49" s="1124">
        <f>+AG49/X49</f>
        <v>0.39400520344483403</v>
      </c>
      <c r="AI49" s="232"/>
      <c r="AJ49" s="232"/>
      <c r="AK49" s="232"/>
      <c r="AL49" s="232"/>
      <c r="AM49" s="232"/>
      <c r="AN49" s="232"/>
      <c r="AO49" s="232"/>
      <c r="AP49" s="232"/>
      <c r="AQ49" s="232"/>
      <c r="AR49" s="232"/>
    </row>
    <row r="50" spans="1:44" s="1" customFormat="1" ht="19.5" customHeight="1">
      <c r="A50" s="1118"/>
      <c r="B50" s="1118"/>
      <c r="C50" s="1118"/>
      <c r="D50" s="1118"/>
      <c r="E50" s="1118"/>
      <c r="F50" s="1118"/>
      <c r="G50" s="1118"/>
      <c r="H50" s="1118"/>
      <c r="I50" s="1118"/>
      <c r="J50" s="1118"/>
      <c r="K50" s="1118"/>
      <c r="L50" s="1118"/>
      <c r="M50" s="1118"/>
      <c r="N50" s="198">
        <v>100</v>
      </c>
      <c r="O50" s="198" t="s">
        <v>93</v>
      </c>
      <c r="P50" s="198">
        <f>P49+P44+P42+P41+P40+P39+P37+P31+P30+P29</f>
        <v>100</v>
      </c>
      <c r="Q50" s="198">
        <v>100</v>
      </c>
      <c r="R50" s="198">
        <v>100</v>
      </c>
      <c r="S50" s="198">
        <v>100</v>
      </c>
      <c r="T50" s="200"/>
      <c r="U50" s="198"/>
      <c r="V50" s="1121"/>
      <c r="W50" s="1121"/>
      <c r="X50" s="1121"/>
      <c r="Y50" s="277">
        <f>AVERAGE(Y45+Y44+Y37+Y35+Y34+Y33+Y32+Y31)</f>
        <v>0</v>
      </c>
      <c r="Z50" s="277">
        <f>AVERAGE(Z45+Z44+Z37+Z35+Z34+Z33+Z32+Z31)</f>
        <v>0</v>
      </c>
      <c r="AA50" s="277">
        <f>AVERAGE(AA45+AA44+AA37+AA35+AA34+AA33+AA32+AA31)</f>
        <v>0</v>
      </c>
      <c r="AB50" s="277">
        <f>AVERAGE(AB45+AB44+AB37+AB35+AB34+AB33+AB32+AB31)</f>
        <v>0</v>
      </c>
      <c r="AC50" s="1121"/>
      <c r="AD50" s="1121"/>
      <c r="AE50" s="1121"/>
      <c r="AF50" s="1121"/>
      <c r="AG50" s="1121"/>
      <c r="AH50" s="1124"/>
      <c r="AI50" s="232"/>
      <c r="AJ50" s="232"/>
      <c r="AK50" s="232"/>
      <c r="AL50" s="232"/>
      <c r="AM50" s="232"/>
      <c r="AN50" s="232"/>
      <c r="AO50" s="232"/>
      <c r="AP50" s="232"/>
      <c r="AQ50" s="232"/>
      <c r="AR50" s="232"/>
    </row>
    <row r="51" spans="1:44" s="1" customFormat="1">
      <c r="A51" s="3"/>
      <c r="B51" s="3"/>
      <c r="C51" s="3"/>
      <c r="D51" s="3"/>
      <c r="E51" s="3"/>
      <c r="F51" s="3"/>
      <c r="G51" s="3"/>
      <c r="H51" s="3"/>
      <c r="M51" s="5"/>
      <c r="N51" s="3"/>
      <c r="O51" s="3"/>
      <c r="P51" s="3"/>
      <c r="Q51" s="3"/>
      <c r="R51" s="3"/>
      <c r="S51" s="3"/>
      <c r="T51" s="3">
        <v>59707696938</v>
      </c>
      <c r="U51" s="3"/>
      <c r="V51" s="7"/>
      <c r="W51" s="7"/>
      <c r="X51" s="11" t="e">
        <f>#REF!-#REF!</f>
        <v>#REF!</v>
      </c>
      <c r="Y51" s="11"/>
      <c r="Z51" s="11"/>
      <c r="AA51" s="11"/>
      <c r="AB51" s="11"/>
      <c r="AC51" s="11"/>
      <c r="AD51" s="11"/>
      <c r="AE51" s="11"/>
      <c r="AF51" s="11"/>
      <c r="AG51" s="11"/>
      <c r="AH51" s="11"/>
      <c r="AI51" s="11"/>
      <c r="AJ51" s="11"/>
      <c r="AK51" s="11"/>
      <c r="AL51" s="11"/>
      <c r="AM51" s="11"/>
      <c r="AN51" s="11"/>
      <c r="AO51" s="11"/>
      <c r="AP51" s="11"/>
      <c r="AQ51" s="3"/>
      <c r="AR51" s="3"/>
    </row>
    <row r="52" spans="1:44" s="1" customFormat="1">
      <c r="A52" s="3"/>
      <c r="B52" s="3"/>
      <c r="C52" s="3"/>
      <c r="D52" s="3"/>
      <c r="E52" s="3"/>
      <c r="J52" s="5"/>
      <c r="K52" s="3"/>
      <c r="L52" s="3"/>
      <c r="M52" s="3"/>
      <c r="N52" s="3"/>
      <c r="O52" s="3"/>
      <c r="P52" s="3"/>
      <c r="Q52" s="3"/>
      <c r="R52" s="3"/>
      <c r="S52" s="3"/>
      <c r="T52" s="3">
        <f>+T50-T51</f>
        <v>-59707696938</v>
      </c>
      <c r="U52" s="3"/>
      <c r="V52" s="7"/>
      <c r="W52" s="7"/>
      <c r="X52" s="7"/>
      <c r="Y52" s="7"/>
      <c r="Z52" s="7"/>
      <c r="AA52" s="7"/>
      <c r="AB52" s="7"/>
      <c r="AC52" s="7"/>
      <c r="AD52" s="7"/>
      <c r="AE52" s="7"/>
      <c r="AF52" s="7"/>
      <c r="AG52" s="7"/>
      <c r="AH52" s="7"/>
      <c r="AI52" s="7"/>
      <c r="AJ52" s="7"/>
      <c r="AK52" s="7"/>
      <c r="AL52" s="7"/>
      <c r="AM52" s="7"/>
      <c r="AN52" s="7"/>
      <c r="AO52" s="7"/>
      <c r="AP52" s="7"/>
      <c r="AQ52" s="3"/>
      <c r="AR52" s="3"/>
    </row>
    <row r="53" spans="1:44" s="1" customFormat="1" ht="15" customHeight="1">
      <c r="A53" s="3"/>
      <c r="B53" s="3"/>
      <c r="C53" s="3"/>
      <c r="D53" s="3"/>
      <c r="E53" s="3"/>
      <c r="F53" s="3"/>
      <c r="G53" s="3"/>
      <c r="H53" s="3"/>
      <c r="M53" s="5"/>
      <c r="N53" s="3"/>
      <c r="O53" s="3"/>
      <c r="P53" s="7"/>
      <c r="Q53" s="7"/>
      <c r="R53" s="7"/>
      <c r="S53" s="7"/>
      <c r="T53" s="7"/>
      <c r="U53" s="7"/>
      <c r="V53" s="7"/>
      <c r="W53" s="7"/>
      <c r="X53" s="7"/>
      <c r="Y53" s="7"/>
      <c r="Z53" s="7"/>
      <c r="AA53" s="7"/>
      <c r="AB53" s="7"/>
      <c r="AC53" s="7"/>
      <c r="AD53" s="7"/>
      <c r="AE53" s="3"/>
      <c r="AF53" s="3"/>
    </row>
    <row r="54" spans="1:44" s="1" customFormat="1" ht="15">
      <c r="A54" s="1108" t="s">
        <v>995</v>
      </c>
      <c r="B54" s="1108"/>
      <c r="C54" s="1108"/>
      <c r="D54" s="1108"/>
      <c r="E54" s="1108"/>
      <c r="F54" s="1108"/>
      <c r="G54" s="1108"/>
      <c r="H54" s="1108"/>
      <c r="I54" s="1108"/>
      <c r="J54" s="1108"/>
      <c r="K54" s="1108"/>
      <c r="L54" s="1108"/>
      <c r="M54" s="1108"/>
      <c r="N54" s="1108"/>
      <c r="O54" s="1108"/>
      <c r="P54" s="7"/>
      <c r="Q54" s="7"/>
      <c r="R54" s="7"/>
      <c r="S54" s="7"/>
      <c r="T54" s="7"/>
      <c r="U54" s="7"/>
      <c r="V54" s="7"/>
      <c r="W54" s="7"/>
      <c r="X54" s="7"/>
      <c r="Y54" s="7"/>
      <c r="Z54" s="7"/>
      <c r="AA54" s="7"/>
      <c r="AB54" s="7"/>
      <c r="AC54" s="7"/>
      <c r="AD54" s="7"/>
      <c r="AE54" s="3"/>
      <c r="AF54" s="3"/>
    </row>
    <row r="55" spans="1:44" s="1" customFormat="1" ht="90">
      <c r="A55" s="223" t="s">
        <v>996</v>
      </c>
      <c r="B55" s="224" t="s">
        <v>997</v>
      </c>
      <c r="C55" s="224" t="s">
        <v>998</v>
      </c>
      <c r="D55" s="224" t="s">
        <v>660</v>
      </c>
      <c r="E55" s="224" t="s">
        <v>999</v>
      </c>
      <c r="F55" s="224" t="s">
        <v>660</v>
      </c>
      <c r="G55" s="224" t="s">
        <v>1000</v>
      </c>
      <c r="H55" s="224" t="s">
        <v>660</v>
      </c>
      <c r="I55" s="224"/>
      <c r="J55" s="225"/>
      <c r="K55" s="225"/>
      <c r="L55" s="225"/>
      <c r="M55" s="224" t="s">
        <v>660</v>
      </c>
      <c r="N55" s="224" t="s">
        <v>1001</v>
      </c>
      <c r="O55" s="224" t="s">
        <v>660</v>
      </c>
      <c r="P55" s="7"/>
      <c r="Q55" s="7"/>
      <c r="R55" s="7"/>
      <c r="S55" s="7"/>
      <c r="T55" s="7"/>
      <c r="U55" s="7"/>
      <c r="V55" s="7"/>
      <c r="W55" s="7"/>
      <c r="X55" s="7"/>
      <c r="Y55" s="7"/>
      <c r="Z55" s="7"/>
      <c r="AA55" s="7"/>
      <c r="AB55" s="7"/>
      <c r="AC55" s="7"/>
      <c r="AD55" s="7"/>
      <c r="AE55" s="3"/>
      <c r="AF55" s="3"/>
    </row>
    <row r="56" spans="1:44" s="1" customFormat="1">
      <c r="A56" s="213" t="s">
        <v>1002</v>
      </c>
      <c r="B56" s="213">
        <f>N26</f>
        <v>324</v>
      </c>
      <c r="C56" s="213">
        <f>Y26</f>
        <v>0</v>
      </c>
      <c r="D56" s="220">
        <f>B56*C56/100</f>
        <v>0</v>
      </c>
      <c r="E56" s="213">
        <f>Z26</f>
        <v>0</v>
      </c>
      <c r="F56" s="220">
        <f>B56*E56/100</f>
        <v>0</v>
      </c>
      <c r="G56" s="213">
        <f>AA26</f>
        <v>0</v>
      </c>
      <c r="H56" s="213"/>
      <c r="I56" s="214"/>
      <c r="J56" s="214"/>
      <c r="K56" s="214"/>
      <c r="L56" s="214"/>
      <c r="M56" s="220">
        <f>B56*G56/100</f>
        <v>0</v>
      </c>
      <c r="N56" s="213">
        <f>AB26</f>
        <v>0</v>
      </c>
      <c r="O56" s="220">
        <f>B56*N56/100</f>
        <v>0</v>
      </c>
      <c r="P56" s="7"/>
      <c r="Q56" s="7"/>
      <c r="R56" s="7"/>
      <c r="S56" s="7"/>
      <c r="T56" s="7"/>
      <c r="U56" s="7"/>
      <c r="V56" s="7"/>
      <c r="W56" s="7"/>
      <c r="X56" s="7"/>
      <c r="Y56" s="7"/>
      <c r="Z56" s="7"/>
      <c r="AA56" s="7"/>
      <c r="AB56" s="7"/>
      <c r="AC56" s="7"/>
      <c r="AD56" s="7"/>
      <c r="AE56" s="3"/>
      <c r="AF56" s="3"/>
    </row>
    <row r="57" spans="1:44" s="1" customFormat="1" ht="23.25">
      <c r="A57" s="213" t="s">
        <v>93</v>
      </c>
      <c r="B57" s="220">
        <v>1</v>
      </c>
      <c r="C57" s="220">
        <f>Y27</f>
        <v>0</v>
      </c>
      <c r="D57" s="220">
        <f>B57*C57/100</f>
        <v>0</v>
      </c>
      <c r="E57" s="220">
        <f>Z27</f>
        <v>0</v>
      </c>
      <c r="F57" s="220">
        <f>B57*E57/100</f>
        <v>0</v>
      </c>
      <c r="G57" s="220">
        <f>AA27</f>
        <v>0</v>
      </c>
      <c r="H57" s="213"/>
      <c r="I57" s="214"/>
      <c r="J57" s="214"/>
      <c r="K57" s="214"/>
      <c r="L57" s="214"/>
      <c r="M57" s="220">
        <f>B57*G57/100</f>
        <v>0</v>
      </c>
      <c r="N57" s="220">
        <f>AB27</f>
        <v>0</v>
      </c>
      <c r="O57" s="220">
        <f>B57*N57/100</f>
        <v>0</v>
      </c>
      <c r="P57" s="202"/>
      <c r="Q57" s="202"/>
      <c r="R57" s="202"/>
      <c r="S57" s="202"/>
      <c r="T57" s="202"/>
      <c r="U57" s="202"/>
      <c r="V57" s="202"/>
      <c r="W57" s="202"/>
      <c r="X57" s="202"/>
      <c r="Y57" s="202"/>
      <c r="Z57" s="202"/>
      <c r="AA57" s="202"/>
      <c r="AB57" s="202"/>
      <c r="AC57" s="202"/>
      <c r="AD57" s="202"/>
      <c r="AE57" s="13" t="e">
        <f>K57-#REF!</f>
        <v>#REF!</v>
      </c>
      <c r="AF57" s="3"/>
    </row>
    <row r="58" spans="1:44" s="1" customFormat="1" ht="15" customHeight="1">
      <c r="A58" s="3"/>
      <c r="B58" s="3"/>
      <c r="C58" s="3"/>
      <c r="D58" s="3"/>
      <c r="E58" s="3"/>
      <c r="F58" s="3"/>
      <c r="G58" s="3"/>
      <c r="H58" s="3"/>
      <c r="M58" s="5"/>
      <c r="N58" s="3"/>
      <c r="O58" s="3"/>
      <c r="P58" s="7"/>
      <c r="Q58" s="7"/>
      <c r="R58" s="7"/>
      <c r="S58" s="7"/>
      <c r="T58" s="7"/>
      <c r="U58" s="7"/>
      <c r="V58" s="7"/>
      <c r="W58" s="7"/>
      <c r="X58" s="7"/>
      <c r="Y58" s="7"/>
      <c r="Z58" s="7"/>
      <c r="AA58" s="7"/>
      <c r="AB58" s="7"/>
      <c r="AC58" s="7"/>
      <c r="AD58" s="7"/>
      <c r="AE58" s="3"/>
      <c r="AF58" s="3"/>
    </row>
    <row r="59" spans="1:44" s="1" customFormat="1" ht="15">
      <c r="A59" s="1109" t="s">
        <v>1003</v>
      </c>
      <c r="B59" s="1109"/>
      <c r="C59" s="1109"/>
      <c r="D59" s="1109"/>
      <c r="E59" s="1109"/>
      <c r="F59" s="1109"/>
      <c r="G59" s="1109"/>
      <c r="H59" s="1109"/>
      <c r="I59" s="1109"/>
      <c r="J59" s="1109"/>
      <c r="K59" s="1109"/>
      <c r="L59" s="1109"/>
      <c r="M59" s="1109"/>
      <c r="N59" s="1109"/>
      <c r="O59" s="3"/>
      <c r="P59" s="7"/>
      <c r="Q59" s="7"/>
      <c r="R59" s="7"/>
      <c r="S59" s="7"/>
      <c r="T59" s="7"/>
      <c r="U59" s="7"/>
      <c r="V59" s="7"/>
      <c r="W59" s="7"/>
      <c r="X59" s="7"/>
      <c r="Y59" s="7"/>
      <c r="Z59" s="7"/>
      <c r="AA59" s="7"/>
      <c r="AB59" s="7"/>
      <c r="AC59" s="7"/>
      <c r="AD59" s="7"/>
      <c r="AE59" s="3"/>
      <c r="AF59" s="3"/>
    </row>
    <row r="60" spans="1:44" s="1" customFormat="1" ht="45">
      <c r="A60" s="221" t="s">
        <v>674</v>
      </c>
      <c r="B60" s="221" t="s">
        <v>1004</v>
      </c>
      <c r="C60" s="221" t="s">
        <v>660</v>
      </c>
      <c r="D60" s="221" t="s">
        <v>1005</v>
      </c>
      <c r="E60" s="221" t="s">
        <v>660</v>
      </c>
      <c r="F60" s="221" t="s">
        <v>1006</v>
      </c>
      <c r="G60" s="221" t="s">
        <v>660</v>
      </c>
      <c r="H60" s="221"/>
      <c r="I60" s="222"/>
      <c r="J60" s="222"/>
      <c r="K60" s="222"/>
      <c r="L60" s="222"/>
      <c r="M60" s="221" t="s">
        <v>1007</v>
      </c>
      <c r="N60" s="221" t="s">
        <v>660</v>
      </c>
      <c r="O60" s="3"/>
      <c r="P60" s="7"/>
      <c r="Q60" s="7"/>
      <c r="R60" s="7"/>
      <c r="S60" s="7"/>
      <c r="T60" s="7"/>
      <c r="U60" s="7"/>
      <c r="V60" s="7"/>
      <c r="W60" s="7"/>
      <c r="X60" s="7"/>
      <c r="Y60" s="7"/>
      <c r="Z60" s="7"/>
      <c r="AA60" s="7"/>
      <c r="AB60" s="7"/>
      <c r="AC60" s="7"/>
      <c r="AD60" s="7"/>
      <c r="AE60" s="3"/>
      <c r="AF60" s="3"/>
    </row>
    <row r="61" spans="1:44" s="1" customFormat="1">
      <c r="A61" s="217">
        <f>X26</f>
        <v>2647607462.2712793</v>
      </c>
      <c r="B61" s="217">
        <f>AC26</f>
        <v>639113520</v>
      </c>
      <c r="C61" s="220">
        <f>A61*B61/100</f>
        <v>1.6921217247904646E+16</v>
      </c>
      <c r="D61" s="217">
        <f>AD26</f>
        <v>382984839</v>
      </c>
      <c r="E61" s="220">
        <f>A61*D61/100</f>
        <v>1.0139935176731646E+16</v>
      </c>
      <c r="F61" s="217">
        <f>AE26</f>
        <v>0</v>
      </c>
      <c r="G61" s="220">
        <f>A61*F61/100</f>
        <v>0</v>
      </c>
      <c r="H61" s="213"/>
      <c r="I61" s="214"/>
      <c r="J61" s="214"/>
      <c r="K61" s="214"/>
      <c r="L61" s="214"/>
      <c r="M61" s="228">
        <f>AF26</f>
        <v>0</v>
      </c>
      <c r="N61" s="220">
        <f>A61*M61/100</f>
        <v>0</v>
      </c>
      <c r="O61" s="3"/>
      <c r="P61" s="7"/>
      <c r="Q61" s="7"/>
      <c r="R61" s="7"/>
      <c r="S61" s="7"/>
      <c r="T61" s="7"/>
      <c r="U61" s="7"/>
      <c r="V61" s="7"/>
      <c r="W61" s="7"/>
      <c r="X61" s="7"/>
      <c r="Y61" s="7"/>
      <c r="Z61" s="7"/>
      <c r="AA61" s="7"/>
      <c r="AB61" s="7"/>
      <c r="AC61" s="7"/>
      <c r="AD61" s="7"/>
      <c r="AE61" s="3"/>
      <c r="AF61" s="3"/>
    </row>
    <row r="62" spans="1:44" s="1" customFormat="1">
      <c r="A62" s="213"/>
      <c r="B62" s="213"/>
      <c r="C62" s="213"/>
      <c r="D62" s="213"/>
      <c r="E62" s="213"/>
      <c r="F62" s="213"/>
      <c r="G62" s="213"/>
      <c r="H62" s="213"/>
      <c r="I62" s="214"/>
      <c r="J62" s="214"/>
      <c r="K62" s="214"/>
      <c r="L62" s="214"/>
      <c r="M62" s="215"/>
      <c r="N62" s="213"/>
      <c r="O62" s="3"/>
      <c r="P62" s="7"/>
      <c r="Q62" s="7"/>
      <c r="R62" s="7"/>
      <c r="S62" s="7"/>
      <c r="T62" s="7"/>
      <c r="U62" s="7"/>
      <c r="V62" s="7"/>
      <c r="W62" s="7"/>
      <c r="X62" s="7"/>
      <c r="Y62" s="7"/>
      <c r="Z62" s="7"/>
      <c r="AA62" s="7"/>
      <c r="AB62" s="7"/>
      <c r="AC62" s="7"/>
      <c r="AD62" s="7"/>
      <c r="AE62" s="3"/>
      <c r="AF62" s="3"/>
    </row>
    <row r="63" spans="1:44" s="1" customFormat="1" ht="15" customHeight="1">
      <c r="A63" s="3"/>
      <c r="B63" s="3"/>
      <c r="C63" s="3"/>
      <c r="D63" s="3"/>
      <c r="E63" s="3"/>
      <c r="F63" s="3"/>
      <c r="G63" s="3"/>
      <c r="H63" s="3"/>
      <c r="M63" s="5"/>
      <c r="N63" s="3"/>
      <c r="O63" s="3"/>
      <c r="P63" s="7"/>
      <c r="Q63" s="7"/>
      <c r="R63" s="7"/>
      <c r="S63" s="7"/>
      <c r="T63" s="7"/>
      <c r="U63" s="7"/>
      <c r="V63" s="7"/>
      <c r="W63" s="7"/>
      <c r="X63" s="7"/>
      <c r="Y63" s="7"/>
      <c r="Z63" s="7"/>
      <c r="AA63" s="7"/>
      <c r="AB63" s="7"/>
      <c r="AC63" s="7"/>
      <c r="AD63" s="7"/>
      <c r="AE63" s="3"/>
      <c r="AF63" s="3"/>
    </row>
    <row r="64" spans="1:44" s="1" customFormat="1" ht="15">
      <c r="A64" s="1108" t="s">
        <v>1008</v>
      </c>
      <c r="B64" s="1108"/>
      <c r="C64" s="1108"/>
      <c r="D64" s="1108"/>
      <c r="E64" s="1108"/>
      <c r="F64" s="1108"/>
      <c r="G64" s="1108"/>
      <c r="H64" s="1108"/>
      <c r="I64" s="1108"/>
      <c r="J64" s="1108"/>
      <c r="K64" s="1108"/>
      <c r="L64" s="1108"/>
      <c r="M64" s="1108"/>
      <c r="N64" s="1108"/>
      <c r="O64" s="1108"/>
      <c r="P64" s="7"/>
      <c r="Q64" s="7"/>
      <c r="R64" s="7"/>
      <c r="S64" s="7"/>
      <c r="T64" s="7"/>
      <c r="U64" s="7"/>
      <c r="V64" s="7"/>
      <c r="W64" s="7"/>
      <c r="X64" s="7"/>
      <c r="Y64" s="7"/>
      <c r="Z64" s="7"/>
      <c r="AA64" s="7"/>
      <c r="AB64" s="7"/>
      <c r="AC64" s="7"/>
      <c r="AD64" s="7"/>
      <c r="AE64" s="3"/>
      <c r="AF64" s="3"/>
    </row>
    <row r="65" spans="1:44" s="1" customFormat="1" ht="90">
      <c r="A65" s="223" t="s">
        <v>996</v>
      </c>
      <c r="B65" s="224" t="s">
        <v>997</v>
      </c>
      <c r="C65" s="224" t="s">
        <v>998</v>
      </c>
      <c r="D65" s="224" t="s">
        <v>660</v>
      </c>
      <c r="E65" s="224" t="s">
        <v>999</v>
      </c>
      <c r="F65" s="224" t="s">
        <v>660</v>
      </c>
      <c r="G65" s="224" t="s">
        <v>1000</v>
      </c>
      <c r="H65" s="224" t="s">
        <v>660</v>
      </c>
      <c r="I65" s="224"/>
      <c r="J65" s="225"/>
      <c r="K65" s="225"/>
      <c r="L65" s="225"/>
      <c r="M65" s="224" t="s">
        <v>660</v>
      </c>
      <c r="N65" s="224" t="s">
        <v>1001</v>
      </c>
      <c r="O65" s="224" t="s">
        <v>660</v>
      </c>
      <c r="P65" s="7"/>
      <c r="Q65" s="7"/>
      <c r="R65" s="7"/>
      <c r="S65" s="7"/>
      <c r="T65" s="7"/>
      <c r="U65" s="7"/>
      <c r="V65" s="7"/>
      <c r="W65" s="7"/>
      <c r="X65" s="7"/>
      <c r="Y65" s="7"/>
      <c r="Z65" s="7"/>
      <c r="AA65" s="7"/>
      <c r="AB65" s="7"/>
      <c r="AC65" s="7"/>
      <c r="AD65" s="7"/>
      <c r="AE65" s="3"/>
      <c r="AF65" s="3"/>
    </row>
    <row r="66" spans="1:44" s="1" customFormat="1">
      <c r="A66" s="213" t="s">
        <v>1002</v>
      </c>
      <c r="B66" s="213">
        <f>N49</f>
        <v>50</v>
      </c>
      <c r="C66" s="213">
        <f>Y49</f>
        <v>0</v>
      </c>
      <c r="D66" s="220">
        <f>B66*C66/100</f>
        <v>0</v>
      </c>
      <c r="E66" s="213">
        <f>Z49</f>
        <v>0</v>
      </c>
      <c r="F66" s="220">
        <f>B66*E66/100</f>
        <v>0</v>
      </c>
      <c r="G66" s="213">
        <f>AA49</f>
        <v>0</v>
      </c>
      <c r="H66" s="213"/>
      <c r="I66" s="214"/>
      <c r="J66" s="214"/>
      <c r="K66" s="214"/>
      <c r="L66" s="214"/>
      <c r="M66" s="258">
        <f>B66*G66/100</f>
        <v>0</v>
      </c>
      <c r="N66" s="213">
        <f>AB49</f>
        <v>0</v>
      </c>
      <c r="O66" s="220">
        <f>B66*N66/100</f>
        <v>0</v>
      </c>
      <c r="P66" s="7"/>
      <c r="Q66" s="7"/>
      <c r="R66" s="7"/>
      <c r="S66" s="7"/>
      <c r="T66" s="7"/>
      <c r="U66" s="7"/>
      <c r="V66" s="7"/>
      <c r="W66" s="7"/>
      <c r="X66" s="7"/>
      <c r="Y66" s="7"/>
      <c r="Z66" s="7"/>
      <c r="AA66" s="7"/>
      <c r="AB66" s="7"/>
      <c r="AC66" s="7"/>
      <c r="AD66" s="7"/>
      <c r="AE66" s="3"/>
      <c r="AF66" s="3"/>
    </row>
    <row r="67" spans="1:44" s="1" customFormat="1">
      <c r="A67" s="213" t="s">
        <v>93</v>
      </c>
      <c r="B67" s="220">
        <v>1</v>
      </c>
      <c r="C67" s="218">
        <f>Y50</f>
        <v>0</v>
      </c>
      <c r="D67" s="218">
        <v>0</v>
      </c>
      <c r="E67" s="220">
        <f>Z50</f>
        <v>0</v>
      </c>
      <c r="F67" s="220">
        <f>B67*E67/100</f>
        <v>0</v>
      </c>
      <c r="G67" s="220">
        <f>AA50</f>
        <v>0</v>
      </c>
      <c r="H67" s="213"/>
      <c r="I67" s="214"/>
      <c r="J67" s="214"/>
      <c r="K67" s="214"/>
      <c r="L67" s="214"/>
      <c r="M67" s="258">
        <f>B67*G67/100</f>
        <v>0</v>
      </c>
      <c r="N67" s="220">
        <f>AB50</f>
        <v>0</v>
      </c>
      <c r="O67" s="220">
        <f>B67*N67/100</f>
        <v>0</v>
      </c>
      <c r="P67" s="7"/>
      <c r="Q67" s="7"/>
      <c r="R67" s="7"/>
      <c r="S67" s="7"/>
      <c r="T67" s="7"/>
      <c r="U67" s="7"/>
      <c r="V67" s="7"/>
      <c r="W67" s="7"/>
      <c r="X67" s="7"/>
      <c r="Y67" s="7"/>
      <c r="Z67" s="7"/>
      <c r="AA67" s="7"/>
      <c r="AB67" s="7"/>
      <c r="AC67" s="7"/>
      <c r="AD67" s="7"/>
      <c r="AE67" s="3"/>
      <c r="AF67" s="3"/>
    </row>
    <row r="68" spans="1:44" s="1" customFormat="1" ht="15" customHeight="1">
      <c r="A68" s="3"/>
      <c r="B68" s="3"/>
      <c r="C68" s="3"/>
      <c r="D68" s="3"/>
      <c r="E68" s="3"/>
      <c r="F68" s="3"/>
      <c r="G68" s="3"/>
      <c r="H68" s="3"/>
      <c r="M68" s="5"/>
      <c r="N68" s="3"/>
      <c r="O68" s="3"/>
      <c r="P68" s="7"/>
      <c r="Q68" s="7"/>
      <c r="R68" s="7"/>
      <c r="S68" s="7"/>
      <c r="T68" s="7"/>
      <c r="U68" s="7"/>
      <c r="V68" s="7"/>
      <c r="W68" s="7"/>
      <c r="X68" s="7"/>
      <c r="Y68" s="7"/>
      <c r="Z68" s="7"/>
      <c r="AA68" s="7"/>
      <c r="AB68" s="7"/>
      <c r="AC68" s="7"/>
      <c r="AD68" s="7"/>
      <c r="AE68" s="3"/>
      <c r="AF68" s="3"/>
    </row>
    <row r="69" spans="1:44" s="1" customFormat="1" ht="15">
      <c r="A69" s="1109" t="s">
        <v>1009</v>
      </c>
      <c r="B69" s="1109"/>
      <c r="C69" s="1109"/>
      <c r="D69" s="1109"/>
      <c r="E69" s="1109"/>
      <c r="F69" s="1109"/>
      <c r="G69" s="1109"/>
      <c r="H69" s="1109"/>
      <c r="I69" s="1109"/>
      <c r="J69" s="1109"/>
      <c r="K69" s="1109"/>
      <c r="L69" s="1109"/>
      <c r="M69" s="1109"/>
      <c r="N69" s="1109"/>
      <c r="O69" s="3"/>
      <c r="P69" s="7"/>
      <c r="Q69" s="7"/>
      <c r="R69" s="7"/>
      <c r="S69" s="7"/>
      <c r="T69" s="7"/>
      <c r="U69" s="7"/>
      <c r="V69" s="7"/>
      <c r="W69" s="7"/>
      <c r="X69" s="7"/>
      <c r="Y69" s="7"/>
      <c r="Z69" s="7"/>
      <c r="AA69" s="7"/>
      <c r="AB69" s="7"/>
      <c r="AC69" s="7"/>
      <c r="AD69" s="7"/>
      <c r="AE69" s="3"/>
      <c r="AF69" s="3"/>
    </row>
    <row r="70" spans="1:44" s="1" customFormat="1" ht="45">
      <c r="A70" s="221" t="s">
        <v>674</v>
      </c>
      <c r="B70" s="221" t="s">
        <v>1004</v>
      </c>
      <c r="C70" s="221" t="s">
        <v>660</v>
      </c>
      <c r="D70" s="221" t="s">
        <v>1005</v>
      </c>
      <c r="E70" s="221" t="s">
        <v>660</v>
      </c>
      <c r="F70" s="221" t="s">
        <v>1006</v>
      </c>
      <c r="G70" s="221" t="s">
        <v>660</v>
      </c>
      <c r="H70" s="221"/>
      <c r="I70" s="222"/>
      <c r="J70" s="222"/>
      <c r="K70" s="222"/>
      <c r="L70" s="222"/>
      <c r="M70" s="221" t="s">
        <v>1007</v>
      </c>
      <c r="N70" s="221" t="s">
        <v>660</v>
      </c>
      <c r="O70" s="3"/>
      <c r="P70" s="7"/>
      <c r="Q70" s="7"/>
      <c r="R70" s="7"/>
      <c r="S70" s="7"/>
      <c r="T70" s="7"/>
      <c r="U70" s="7"/>
      <c r="V70" s="7"/>
      <c r="W70" s="7"/>
      <c r="X70" s="7"/>
      <c r="Y70" s="7"/>
      <c r="Z70" s="7"/>
      <c r="AA70" s="7"/>
      <c r="AB70" s="7"/>
      <c r="AC70" s="7"/>
      <c r="AD70" s="7"/>
      <c r="AE70" s="3"/>
      <c r="AF70" s="3"/>
    </row>
    <row r="71" spans="1:44" s="1" customFormat="1" ht="15">
      <c r="A71" s="226">
        <f>X49</f>
        <v>46653408300.922806</v>
      </c>
      <c r="B71" s="226">
        <f>AC49</f>
        <v>18977679181</v>
      </c>
      <c r="C71" s="262">
        <f>A71*B71/100</f>
        <v>8.8537341543511532E+18</v>
      </c>
      <c r="D71" s="226">
        <f>AD49</f>
        <v>10383091719</v>
      </c>
      <c r="E71" s="262">
        <f>A71*D71/100</f>
        <v>4.8440661739243745E+18</v>
      </c>
      <c r="F71" s="226">
        <f>AE49</f>
        <v>0</v>
      </c>
      <c r="G71" s="262">
        <f>A71*F71/100</f>
        <v>0</v>
      </c>
      <c r="H71" s="216"/>
      <c r="I71" s="227"/>
      <c r="J71" s="227"/>
      <c r="K71" s="227"/>
      <c r="L71" s="227"/>
      <c r="M71" s="229">
        <f>AF49</f>
        <v>0</v>
      </c>
      <c r="N71" s="262">
        <f>A71*M71/100</f>
        <v>0</v>
      </c>
      <c r="O71" s="3"/>
      <c r="P71" s="7"/>
      <c r="Q71" s="7"/>
      <c r="R71" s="7"/>
      <c r="S71" s="7"/>
      <c r="T71" s="7"/>
      <c r="U71" s="7"/>
      <c r="V71" s="7"/>
      <c r="W71" s="7"/>
      <c r="X71" s="7"/>
      <c r="Y71" s="7"/>
      <c r="Z71" s="7"/>
      <c r="AA71" s="7"/>
      <c r="AB71" s="7"/>
      <c r="AC71" s="7"/>
      <c r="AD71" s="7"/>
      <c r="AE71" s="3"/>
      <c r="AF71" s="3"/>
    </row>
    <row r="72" spans="1:44" s="1" customFormat="1">
      <c r="A72" s="213"/>
      <c r="B72" s="213"/>
      <c r="C72" s="213"/>
      <c r="D72" s="213"/>
      <c r="E72" s="213"/>
      <c r="F72" s="213"/>
      <c r="G72" s="213"/>
      <c r="H72" s="213"/>
      <c r="I72" s="214"/>
      <c r="J72" s="214"/>
      <c r="K72" s="214"/>
      <c r="L72" s="214"/>
      <c r="M72" s="215"/>
      <c r="N72" s="213"/>
      <c r="O72" s="3"/>
      <c r="P72" s="7"/>
      <c r="Q72" s="7"/>
      <c r="R72" s="7"/>
      <c r="S72" s="7"/>
      <c r="T72" s="7"/>
      <c r="U72" s="7"/>
      <c r="V72" s="7"/>
      <c r="W72" s="7"/>
      <c r="X72" s="7"/>
      <c r="Y72" s="7"/>
      <c r="Z72" s="7"/>
      <c r="AA72" s="7"/>
      <c r="AB72" s="7"/>
      <c r="AC72" s="7"/>
      <c r="AD72" s="7"/>
      <c r="AE72" s="3"/>
      <c r="AF72" s="3"/>
    </row>
    <row r="73" spans="1:44" s="1" customFormat="1" ht="15" customHeight="1">
      <c r="A73" s="3"/>
      <c r="B73" s="3"/>
      <c r="C73" s="3"/>
      <c r="D73" s="3"/>
      <c r="E73" s="3"/>
      <c r="F73" s="3"/>
      <c r="G73" s="3"/>
      <c r="H73" s="3"/>
      <c r="M73" s="5"/>
      <c r="N73" s="3"/>
      <c r="O73" s="3"/>
      <c r="P73" s="7"/>
      <c r="Q73" s="7"/>
      <c r="R73" s="7"/>
      <c r="S73" s="7"/>
      <c r="T73" s="7"/>
      <c r="U73" s="7"/>
      <c r="V73" s="7"/>
      <c r="W73" s="7"/>
      <c r="X73" s="7"/>
      <c r="Y73" s="7"/>
      <c r="Z73" s="7"/>
      <c r="AA73" s="7"/>
      <c r="AB73" s="7"/>
      <c r="AC73" s="7"/>
      <c r="AD73" s="7"/>
      <c r="AE73" s="3"/>
      <c r="AF73" s="3"/>
    </row>
    <row r="74" spans="1:44" ht="15" customHeight="1">
      <c r="P74" s="7"/>
      <c r="Q74" s="7"/>
      <c r="R74" s="7"/>
      <c r="S74" s="7"/>
      <c r="T74" s="7"/>
      <c r="U74" s="7"/>
      <c r="AE74" s="3"/>
      <c r="AF74" s="3"/>
      <c r="AG74" s="2"/>
      <c r="AH74" s="2"/>
      <c r="AI74" s="2"/>
      <c r="AJ74" s="2"/>
      <c r="AK74" s="2"/>
      <c r="AL74" s="2"/>
      <c r="AM74" s="2"/>
      <c r="AN74" s="2"/>
      <c r="AO74" s="2"/>
      <c r="AP74" s="2"/>
      <c r="AQ74" s="2"/>
      <c r="AR74" s="2"/>
    </row>
    <row r="75" spans="1:44" ht="15">
      <c r="A75" s="1108" t="s">
        <v>1012</v>
      </c>
      <c r="B75" s="1108"/>
      <c r="C75" s="1108"/>
      <c r="D75" s="1108"/>
      <c r="E75" s="1108"/>
      <c r="F75" s="1108"/>
      <c r="G75" s="1108"/>
      <c r="H75" s="1108"/>
      <c r="I75" s="1108"/>
      <c r="J75" s="1108"/>
      <c r="K75" s="1108"/>
      <c r="L75" s="1108"/>
      <c r="M75" s="1108"/>
      <c r="N75" s="1108"/>
      <c r="O75" s="1108"/>
      <c r="P75" s="7"/>
      <c r="Q75" s="7"/>
      <c r="R75" s="7"/>
      <c r="S75" s="7"/>
      <c r="T75" s="7"/>
      <c r="U75" s="7"/>
      <c r="AE75" s="3"/>
      <c r="AF75" s="3"/>
      <c r="AG75" s="2"/>
      <c r="AH75" s="2"/>
      <c r="AI75" s="2"/>
      <c r="AJ75" s="2"/>
      <c r="AK75" s="2"/>
      <c r="AL75" s="2"/>
      <c r="AM75" s="2"/>
      <c r="AN75" s="2"/>
      <c r="AO75" s="2"/>
      <c r="AP75" s="2"/>
      <c r="AQ75" s="2"/>
      <c r="AR75" s="2"/>
    </row>
    <row r="76" spans="1:44" ht="90">
      <c r="A76" s="223" t="s">
        <v>996</v>
      </c>
      <c r="B76" s="224" t="s">
        <v>997</v>
      </c>
      <c r="C76" s="224" t="s">
        <v>998</v>
      </c>
      <c r="D76" s="224" t="s">
        <v>660</v>
      </c>
      <c r="E76" s="224" t="s">
        <v>999</v>
      </c>
      <c r="F76" s="224" t="s">
        <v>660</v>
      </c>
      <c r="G76" s="224" t="s">
        <v>1000</v>
      </c>
      <c r="H76" s="224" t="s">
        <v>660</v>
      </c>
      <c r="I76" s="224"/>
      <c r="J76" s="225"/>
      <c r="K76" s="225"/>
      <c r="L76" s="225"/>
      <c r="M76" s="224" t="s">
        <v>660</v>
      </c>
      <c r="N76" s="224" t="s">
        <v>1001</v>
      </c>
      <c r="O76" s="224" t="s">
        <v>660</v>
      </c>
      <c r="P76" s="7"/>
      <c r="Q76" s="7"/>
      <c r="R76" s="7"/>
      <c r="S76" s="7"/>
      <c r="T76" s="7"/>
      <c r="U76" s="7"/>
      <c r="AE76" s="3"/>
      <c r="AF76" s="3"/>
      <c r="AG76" s="2"/>
      <c r="AH76" s="2"/>
      <c r="AI76" s="2"/>
      <c r="AJ76" s="2"/>
      <c r="AK76" s="2"/>
      <c r="AL76" s="2"/>
      <c r="AM76" s="2"/>
      <c r="AN76" s="2"/>
      <c r="AO76" s="2"/>
      <c r="AP76" s="2"/>
      <c r="AQ76" s="2"/>
      <c r="AR76" s="2"/>
    </row>
    <row r="77" spans="1:44">
      <c r="A77" s="213" t="s">
        <v>1002</v>
      </c>
      <c r="B77" s="213">
        <f>B66+B56</f>
        <v>374</v>
      </c>
      <c r="C77" s="213">
        <f>C66+C56</f>
        <v>0</v>
      </c>
      <c r="D77" s="220">
        <f>B77*C77</f>
        <v>0</v>
      </c>
      <c r="E77" s="213">
        <f>E66+E56</f>
        <v>0</v>
      </c>
      <c r="F77" s="220">
        <f>B77*E77/100</f>
        <v>0</v>
      </c>
      <c r="G77" s="213">
        <f>G66+G56</f>
        <v>0</v>
      </c>
      <c r="H77" s="213"/>
      <c r="I77" s="214"/>
      <c r="J77" s="214"/>
      <c r="K77" s="214"/>
      <c r="L77" s="214"/>
      <c r="M77" s="220">
        <f>B77*G77/100</f>
        <v>0</v>
      </c>
      <c r="N77" s="213">
        <f>N66+N56</f>
        <v>0</v>
      </c>
      <c r="O77" s="220">
        <f>B77*N77/100</f>
        <v>0</v>
      </c>
      <c r="P77" s="7"/>
      <c r="Q77" s="7"/>
      <c r="R77" s="7"/>
      <c r="S77" s="7"/>
      <c r="T77" s="7"/>
      <c r="U77" s="7"/>
      <c r="AE77" s="3"/>
      <c r="AF77" s="3"/>
      <c r="AG77" s="2"/>
      <c r="AH77" s="2"/>
      <c r="AI77" s="2"/>
      <c r="AJ77" s="2"/>
      <c r="AK77" s="2"/>
      <c r="AL77" s="2"/>
      <c r="AM77" s="2"/>
      <c r="AN77" s="2"/>
      <c r="AO77" s="2"/>
      <c r="AP77" s="2"/>
      <c r="AQ77" s="2"/>
      <c r="AR77" s="2"/>
    </row>
    <row r="78" spans="1:44">
      <c r="A78" s="213" t="s">
        <v>93</v>
      </c>
      <c r="B78" s="220">
        <v>1</v>
      </c>
      <c r="C78" s="220">
        <f>C67+C57</f>
        <v>0</v>
      </c>
      <c r="D78" s="220">
        <f>B78*C78</f>
        <v>0</v>
      </c>
      <c r="E78" s="220">
        <f>E67+E57</f>
        <v>0</v>
      </c>
      <c r="F78" s="220">
        <f>B78*E78/100</f>
        <v>0</v>
      </c>
      <c r="G78" s="220">
        <f>G67+G57</f>
        <v>0</v>
      </c>
      <c r="H78" s="213"/>
      <c r="I78" s="214"/>
      <c r="J78" s="214"/>
      <c r="K78" s="214"/>
      <c r="L78" s="214"/>
      <c r="M78" s="220">
        <f>B78*G78/100</f>
        <v>0</v>
      </c>
      <c r="N78" s="220">
        <f>N67+N57</f>
        <v>0</v>
      </c>
      <c r="O78" s="220">
        <f>B78*N78/100</f>
        <v>0</v>
      </c>
      <c r="P78" s="7"/>
      <c r="Q78" s="7"/>
      <c r="R78" s="7"/>
      <c r="S78" s="7"/>
      <c r="T78" s="7"/>
      <c r="U78" s="7"/>
      <c r="AE78" s="3"/>
      <c r="AF78" s="3"/>
      <c r="AG78" s="2"/>
      <c r="AH78" s="2"/>
      <c r="AI78" s="2"/>
      <c r="AJ78" s="2"/>
      <c r="AK78" s="2"/>
      <c r="AL78" s="2"/>
      <c r="AM78" s="2"/>
      <c r="AN78" s="2"/>
      <c r="AO78" s="2"/>
      <c r="AP78" s="2"/>
      <c r="AQ78" s="2"/>
      <c r="AR78" s="2"/>
    </row>
    <row r="79" spans="1:44" ht="15" customHeight="1">
      <c r="I79" s="1"/>
      <c r="J79" s="1"/>
      <c r="K79" s="1"/>
      <c r="L79" s="1"/>
      <c r="P79" s="7"/>
      <c r="Q79" s="7"/>
      <c r="R79" s="7"/>
      <c r="S79" s="7"/>
      <c r="T79" s="7"/>
      <c r="U79" s="7"/>
      <c r="AE79" s="3"/>
      <c r="AF79" s="3"/>
      <c r="AG79" s="2"/>
      <c r="AH79" s="2"/>
      <c r="AI79" s="2"/>
      <c r="AJ79" s="2"/>
      <c r="AK79" s="2"/>
      <c r="AL79" s="2"/>
      <c r="AM79" s="2"/>
      <c r="AN79" s="2"/>
      <c r="AO79" s="2"/>
      <c r="AP79" s="2"/>
      <c r="AQ79" s="2"/>
      <c r="AR79" s="2"/>
    </row>
    <row r="80" spans="1:44" ht="15">
      <c r="A80" s="1109" t="s">
        <v>1011</v>
      </c>
      <c r="B80" s="1109"/>
      <c r="C80" s="1109"/>
      <c r="D80" s="1109"/>
      <c r="E80" s="1109"/>
      <c r="F80" s="1109"/>
      <c r="G80" s="1109"/>
      <c r="H80" s="1109"/>
      <c r="I80" s="1109"/>
      <c r="J80" s="1109"/>
      <c r="K80" s="1109"/>
      <c r="L80" s="1109"/>
      <c r="M80" s="1109"/>
      <c r="N80" s="1109"/>
      <c r="P80" s="7"/>
      <c r="Q80" s="7"/>
      <c r="R80" s="7"/>
      <c r="S80" s="7"/>
      <c r="T80" s="7"/>
      <c r="U80" s="7"/>
      <c r="AE80" s="3"/>
      <c r="AF80" s="3"/>
      <c r="AG80" s="2"/>
      <c r="AH80" s="2"/>
      <c r="AI80" s="2"/>
      <c r="AJ80" s="2"/>
      <c r="AK80" s="2"/>
      <c r="AL80" s="2"/>
      <c r="AM80" s="2"/>
      <c r="AN80" s="2"/>
      <c r="AO80" s="2"/>
      <c r="AP80" s="2"/>
      <c r="AQ80" s="2"/>
      <c r="AR80" s="2"/>
    </row>
    <row r="81" spans="1:44" ht="45">
      <c r="A81" s="221" t="s">
        <v>674</v>
      </c>
      <c r="B81" s="221" t="s">
        <v>1004</v>
      </c>
      <c r="C81" s="221" t="s">
        <v>660</v>
      </c>
      <c r="D81" s="221" t="s">
        <v>1005</v>
      </c>
      <c r="E81" s="221" t="s">
        <v>660</v>
      </c>
      <c r="F81" s="221" t="s">
        <v>1006</v>
      </c>
      <c r="G81" s="221" t="s">
        <v>660</v>
      </c>
      <c r="H81" s="221"/>
      <c r="I81" s="222"/>
      <c r="J81" s="222"/>
      <c r="K81" s="222"/>
      <c r="L81" s="222"/>
      <c r="M81" s="221" t="s">
        <v>1007</v>
      </c>
      <c r="N81" s="221" t="s">
        <v>660</v>
      </c>
      <c r="P81" s="7"/>
      <c r="Q81" s="7"/>
      <c r="R81" s="7"/>
      <c r="S81" s="7"/>
      <c r="T81" s="7"/>
      <c r="U81" s="7"/>
      <c r="AE81" s="3"/>
      <c r="AF81" s="3"/>
      <c r="AG81" s="2"/>
      <c r="AH81" s="2"/>
      <c r="AI81" s="2"/>
      <c r="AJ81" s="2"/>
      <c r="AK81" s="2"/>
      <c r="AL81" s="2"/>
      <c r="AM81" s="2"/>
      <c r="AN81" s="2"/>
      <c r="AO81" s="2"/>
      <c r="AP81" s="2"/>
      <c r="AQ81" s="2"/>
      <c r="AR81" s="2"/>
    </row>
    <row r="82" spans="1:44">
      <c r="A82" s="217">
        <f>A71+A61</f>
        <v>49301015763.194084</v>
      </c>
      <c r="B82" s="217">
        <f>B71+B61</f>
        <v>19616792701</v>
      </c>
      <c r="C82" s="218">
        <f>A82*B82/100</f>
        <v>9.6712780617531167E+18</v>
      </c>
      <c r="D82" s="217">
        <f>D71+D61</f>
        <v>10766076558</v>
      </c>
      <c r="E82" s="220">
        <f>A82*D82/100</f>
        <v>5.3077851009371228E+18</v>
      </c>
      <c r="F82" s="217">
        <f>F71+F61</f>
        <v>0</v>
      </c>
      <c r="G82" s="220">
        <f>A82*F82/100</f>
        <v>0</v>
      </c>
      <c r="H82" s="213"/>
      <c r="I82" s="214"/>
      <c r="J82" s="214"/>
      <c r="K82" s="214"/>
      <c r="L82" s="214"/>
      <c r="M82" s="228">
        <f>M71+M61</f>
        <v>0</v>
      </c>
      <c r="N82" s="220">
        <f>A82*M82/100</f>
        <v>0</v>
      </c>
      <c r="P82" s="7"/>
      <c r="Q82" s="7"/>
      <c r="R82" s="7"/>
      <c r="S82" s="7"/>
      <c r="T82" s="7"/>
      <c r="U82" s="7"/>
      <c r="AE82" s="3"/>
      <c r="AF82" s="3"/>
      <c r="AG82" s="2"/>
      <c r="AH82" s="2"/>
      <c r="AI82" s="2"/>
      <c r="AJ82" s="2"/>
      <c r="AK82" s="2"/>
      <c r="AL82" s="2"/>
      <c r="AM82" s="2"/>
      <c r="AN82" s="2"/>
      <c r="AO82" s="2"/>
      <c r="AP82" s="2"/>
      <c r="AQ82" s="2"/>
      <c r="AR82" s="2"/>
    </row>
    <row r="83" spans="1:44">
      <c r="A83" s="213"/>
      <c r="B83" s="213"/>
      <c r="C83" s="213"/>
      <c r="D83" s="213"/>
      <c r="E83" s="213"/>
      <c r="F83" s="213"/>
      <c r="G83" s="213"/>
      <c r="H83" s="213"/>
      <c r="I83" s="214"/>
      <c r="J83" s="214"/>
      <c r="K83" s="214"/>
      <c r="L83" s="214"/>
      <c r="M83" s="215"/>
      <c r="N83" s="213"/>
      <c r="P83" s="7"/>
      <c r="Q83" s="7"/>
      <c r="R83" s="7"/>
      <c r="S83" s="7"/>
      <c r="T83" s="7"/>
      <c r="U83" s="7"/>
      <c r="AE83" s="3"/>
      <c r="AF83" s="3"/>
      <c r="AG83" s="2"/>
      <c r="AH83" s="2"/>
      <c r="AI83" s="2"/>
      <c r="AJ83" s="2"/>
      <c r="AK83" s="2"/>
      <c r="AL83" s="2"/>
      <c r="AM83" s="2"/>
      <c r="AN83" s="2"/>
      <c r="AO83" s="2"/>
      <c r="AP83" s="2"/>
      <c r="AQ83" s="2"/>
      <c r="AR83" s="2"/>
    </row>
    <row r="84" spans="1:44">
      <c r="P84" s="7"/>
      <c r="Q84" s="7"/>
      <c r="R84" s="7"/>
      <c r="S84" s="7"/>
      <c r="T84" s="7"/>
      <c r="U84" s="7"/>
      <c r="AE84" s="3"/>
      <c r="AF84" s="3"/>
      <c r="AG84" s="2"/>
      <c r="AH84" s="2"/>
      <c r="AI84" s="2"/>
      <c r="AJ84" s="2"/>
      <c r="AK84" s="2"/>
      <c r="AL84" s="2"/>
      <c r="AM84" s="2"/>
      <c r="AN84" s="2"/>
      <c r="AO84" s="2"/>
      <c r="AP84" s="2"/>
      <c r="AQ84" s="2"/>
      <c r="AR84" s="2"/>
    </row>
    <row r="85" spans="1:44">
      <c r="A85" s="5"/>
      <c r="I85" s="3"/>
      <c r="J85" s="7"/>
      <c r="K85" s="7"/>
      <c r="L85" s="7"/>
      <c r="M85" s="7"/>
      <c r="N85" s="7"/>
      <c r="O85" s="7"/>
      <c r="P85" s="7"/>
      <c r="Q85" s="7"/>
      <c r="R85" s="7"/>
      <c r="S85" s="7"/>
      <c r="T85" s="7"/>
      <c r="U85" s="7"/>
      <c r="AE85" s="3"/>
      <c r="AF85" s="3"/>
      <c r="AG85" s="2"/>
      <c r="AH85" s="2"/>
      <c r="AI85" s="2"/>
      <c r="AJ85" s="2"/>
      <c r="AK85" s="2"/>
      <c r="AL85" s="2"/>
      <c r="AM85" s="2"/>
      <c r="AN85" s="2"/>
      <c r="AO85" s="2"/>
      <c r="AP85" s="2"/>
      <c r="AQ85" s="2"/>
      <c r="AR85" s="2"/>
    </row>
    <row r="86" spans="1:44">
      <c r="A86" s="5"/>
      <c r="I86" s="3"/>
      <c r="J86" s="7"/>
      <c r="K86" s="7"/>
      <c r="L86" s="7"/>
      <c r="M86" s="7"/>
      <c r="N86" s="7"/>
      <c r="O86" s="7"/>
      <c r="P86" s="7"/>
      <c r="Q86" s="7"/>
      <c r="R86" s="7"/>
      <c r="S86" s="7"/>
      <c r="T86" s="7"/>
      <c r="U86" s="7"/>
      <c r="AE86" s="3"/>
      <c r="AF86" s="3"/>
      <c r="AG86" s="2"/>
      <c r="AH86" s="2"/>
      <c r="AI86" s="2"/>
      <c r="AJ86" s="2"/>
      <c r="AK86" s="2"/>
      <c r="AL86" s="2"/>
      <c r="AM86" s="2"/>
      <c r="AN86" s="2"/>
      <c r="AO86" s="2"/>
      <c r="AP86" s="2"/>
      <c r="AQ86" s="2"/>
      <c r="AR86" s="2"/>
    </row>
    <row r="87" spans="1:44">
      <c r="A87" s="5"/>
      <c r="I87" s="3"/>
      <c r="J87" s="7"/>
      <c r="K87" s="7"/>
      <c r="L87" s="7"/>
      <c r="M87" s="7"/>
      <c r="N87" s="7"/>
      <c r="O87" s="7"/>
      <c r="P87" s="7"/>
      <c r="Q87" s="7"/>
      <c r="R87" s="7"/>
      <c r="S87" s="7"/>
      <c r="T87" s="7"/>
      <c r="U87" s="7"/>
      <c r="AE87" s="3"/>
      <c r="AF87" s="3"/>
      <c r="AG87" s="2"/>
      <c r="AH87" s="2"/>
      <c r="AI87" s="2"/>
      <c r="AJ87" s="2"/>
      <c r="AK87" s="2"/>
      <c r="AL87" s="2"/>
      <c r="AM87" s="2"/>
      <c r="AN87" s="2"/>
      <c r="AO87" s="2"/>
      <c r="AP87" s="2"/>
      <c r="AQ87" s="2"/>
      <c r="AR87" s="2"/>
    </row>
    <row r="88" spans="1:44">
      <c r="A88" s="5"/>
      <c r="I88" s="3"/>
      <c r="J88" s="7"/>
      <c r="K88" s="7"/>
      <c r="L88" s="7"/>
      <c r="M88" s="7"/>
      <c r="N88" s="7"/>
      <c r="O88" s="7"/>
      <c r="P88" s="7"/>
      <c r="Q88" s="7"/>
      <c r="R88" s="7"/>
      <c r="S88" s="7"/>
      <c r="T88" s="7"/>
      <c r="U88" s="7"/>
      <c r="AE88" s="3"/>
      <c r="AF88" s="3"/>
      <c r="AG88" s="2"/>
      <c r="AH88" s="2"/>
      <c r="AI88" s="2"/>
      <c r="AJ88" s="2"/>
      <c r="AK88" s="2"/>
      <c r="AL88" s="2"/>
      <c r="AM88" s="2"/>
      <c r="AN88" s="2"/>
      <c r="AO88" s="2"/>
      <c r="AP88" s="2"/>
      <c r="AQ88" s="2"/>
      <c r="AR88" s="2"/>
    </row>
    <row r="89" spans="1:44">
      <c r="A89" s="5"/>
      <c r="I89" s="3"/>
      <c r="J89" s="7"/>
      <c r="K89" s="7"/>
      <c r="L89" s="7"/>
      <c r="M89" s="7"/>
      <c r="N89" s="7"/>
      <c r="O89" s="7"/>
      <c r="P89" s="7"/>
      <c r="Q89" s="7"/>
      <c r="R89" s="7"/>
      <c r="S89" s="7"/>
      <c r="T89" s="7"/>
      <c r="U89" s="7"/>
      <c r="AE89" s="3"/>
      <c r="AF89" s="3"/>
      <c r="AG89" s="2"/>
      <c r="AH89" s="2"/>
      <c r="AI89" s="2"/>
      <c r="AJ89" s="2"/>
      <c r="AK89" s="2"/>
      <c r="AL89" s="2"/>
      <c r="AM89" s="2"/>
      <c r="AN89" s="2"/>
      <c r="AO89" s="2"/>
      <c r="AP89" s="2"/>
      <c r="AQ89" s="2"/>
      <c r="AR89" s="2"/>
    </row>
    <row r="90" spans="1:44">
      <c r="A90" s="5"/>
      <c r="I90" s="3"/>
      <c r="J90" s="7"/>
      <c r="K90" s="7"/>
      <c r="L90" s="7"/>
      <c r="M90" s="7"/>
      <c r="N90" s="7"/>
      <c r="O90" s="7"/>
      <c r="P90" s="7"/>
      <c r="Q90" s="7"/>
      <c r="R90" s="7"/>
      <c r="S90" s="7"/>
      <c r="T90" s="7"/>
      <c r="U90" s="7"/>
      <c r="AE90" s="3"/>
      <c r="AF90" s="3"/>
      <c r="AG90" s="2"/>
      <c r="AH90" s="2"/>
      <c r="AI90" s="2"/>
      <c r="AJ90" s="2"/>
      <c r="AK90" s="2"/>
      <c r="AL90" s="2"/>
      <c r="AM90" s="2"/>
      <c r="AN90" s="2"/>
      <c r="AO90" s="2"/>
      <c r="AP90" s="2"/>
      <c r="AQ90" s="2"/>
      <c r="AR90" s="2"/>
    </row>
    <row r="91" spans="1:44">
      <c r="A91" s="5"/>
      <c r="I91" s="3"/>
      <c r="J91" s="7"/>
      <c r="K91" s="7"/>
      <c r="L91" s="7"/>
      <c r="M91" s="7"/>
      <c r="N91" s="7"/>
      <c r="O91" s="7"/>
      <c r="P91" s="7"/>
      <c r="Q91" s="7"/>
      <c r="R91" s="7"/>
      <c r="S91" s="7"/>
      <c r="T91" s="7"/>
      <c r="U91" s="7"/>
      <c r="AE91" s="3"/>
      <c r="AF91" s="3"/>
      <c r="AG91" s="2"/>
      <c r="AH91" s="2"/>
      <c r="AI91" s="2"/>
      <c r="AJ91" s="2"/>
      <c r="AK91" s="2"/>
      <c r="AL91" s="2"/>
      <c r="AM91" s="2"/>
      <c r="AN91" s="2"/>
      <c r="AO91" s="2"/>
      <c r="AP91" s="2"/>
      <c r="AQ91" s="2"/>
      <c r="AR91" s="2"/>
    </row>
  </sheetData>
  <mergeCells count="150">
    <mergeCell ref="AH8:AH9"/>
    <mergeCell ref="AH10:AH11"/>
    <mergeCell ref="AH16:AH17"/>
    <mergeCell ref="AH26:AH27"/>
    <mergeCell ref="AC49:AC50"/>
    <mergeCell ref="AD49:AD50"/>
    <mergeCell ref="AE49:AE50"/>
    <mergeCell ref="AF49:AF50"/>
    <mergeCell ref="AG49:AG50"/>
    <mergeCell ref="AH49:AH50"/>
    <mergeCell ref="AD26:AD27"/>
    <mergeCell ref="AE26:AE27"/>
    <mergeCell ref="A69:N69"/>
    <mergeCell ref="A75:O75"/>
    <mergeCell ref="A49:M50"/>
    <mergeCell ref="A54:O54"/>
    <mergeCell ref="L44:L45"/>
    <mergeCell ref="AF26:AF27"/>
    <mergeCell ref="AG26:AG27"/>
    <mergeCell ref="W49:W50"/>
    <mergeCell ref="W28:W29"/>
    <mergeCell ref="C38:C43"/>
    <mergeCell ref="D38:D43"/>
    <mergeCell ref="E38:E43"/>
    <mergeCell ref="F38:F43"/>
    <mergeCell ref="G38:G43"/>
    <mergeCell ref="A80:N80"/>
    <mergeCell ref="V26:V27"/>
    <mergeCell ref="X26:X27"/>
    <mergeCell ref="AC26:AC27"/>
    <mergeCell ref="J28:J29"/>
    <mergeCell ref="V28:V29"/>
    <mergeCell ref="X28:X29"/>
    <mergeCell ref="A29:A46"/>
    <mergeCell ref="B29:B46"/>
    <mergeCell ref="C28:C37"/>
    <mergeCell ref="D28:D37"/>
    <mergeCell ref="H38:H42"/>
    <mergeCell ref="I38:I42"/>
    <mergeCell ref="J38:J42"/>
    <mergeCell ref="K38:K42"/>
    <mergeCell ref="L38:L42"/>
    <mergeCell ref="C44:C46"/>
    <mergeCell ref="D44:D46"/>
    <mergeCell ref="E44:E46"/>
    <mergeCell ref="F44:F45"/>
    <mergeCell ref="V49:V50"/>
    <mergeCell ref="X49:X50"/>
    <mergeCell ref="A59:N59"/>
    <mergeCell ref="A64:O64"/>
    <mergeCell ref="AS29:AS46"/>
    <mergeCell ref="G30:G34"/>
    <mergeCell ref="H30:H34"/>
    <mergeCell ref="I30:I34"/>
    <mergeCell ref="J30:J34"/>
    <mergeCell ref="E28:E37"/>
    <mergeCell ref="F28:F37"/>
    <mergeCell ref="G28:G29"/>
    <mergeCell ref="H28:H29"/>
    <mergeCell ref="I28:I29"/>
    <mergeCell ref="V30:V31"/>
    <mergeCell ref="X30:X31"/>
    <mergeCell ref="L31:L37"/>
    <mergeCell ref="G36:G37"/>
    <mergeCell ref="H36:H37"/>
    <mergeCell ref="I36:I37"/>
    <mergeCell ref="J36:J37"/>
    <mergeCell ref="AH28:AH29"/>
    <mergeCell ref="AH30:AH31"/>
    <mergeCell ref="F46:F47"/>
    <mergeCell ref="G46:G47"/>
    <mergeCell ref="K14:K15"/>
    <mergeCell ref="L14:L15"/>
    <mergeCell ref="K10:K11"/>
    <mergeCell ref="L10:L11"/>
    <mergeCell ref="V10:V11"/>
    <mergeCell ref="X10:X11"/>
    <mergeCell ref="A26:M27"/>
    <mergeCell ref="X16:X17"/>
    <mergeCell ref="F20:F21"/>
    <mergeCell ref="F22:F25"/>
    <mergeCell ref="G24:G25"/>
    <mergeCell ref="H24:H25"/>
    <mergeCell ref="I24:I25"/>
    <mergeCell ref="J24:J25"/>
    <mergeCell ref="H16:H17"/>
    <mergeCell ref="I16:I17"/>
    <mergeCell ref="J16:J17"/>
    <mergeCell ref="K16:K17"/>
    <mergeCell ref="L16:L18"/>
    <mergeCell ref="V16:V17"/>
    <mergeCell ref="X8:X9"/>
    <mergeCell ref="AS8:AS25"/>
    <mergeCell ref="C10:C11"/>
    <mergeCell ref="D10:D11"/>
    <mergeCell ref="E10:E11"/>
    <mergeCell ref="G10:G11"/>
    <mergeCell ref="H10:H11"/>
    <mergeCell ref="I10:I11"/>
    <mergeCell ref="J10:J11"/>
    <mergeCell ref="J8:J9"/>
    <mergeCell ref="K8:K9"/>
    <mergeCell ref="L8:L9"/>
    <mergeCell ref="T8:T9"/>
    <mergeCell ref="U8:U9"/>
    <mergeCell ref="V8:V9"/>
    <mergeCell ref="E8:E9"/>
    <mergeCell ref="F8:F19"/>
    <mergeCell ref="G8:G9"/>
    <mergeCell ref="H8:H9"/>
    <mergeCell ref="J12:J13"/>
    <mergeCell ref="K12:K13"/>
    <mergeCell ref="L12:L13"/>
    <mergeCell ref="V12:V13"/>
    <mergeCell ref="X12:X13"/>
    <mergeCell ref="I8:I9"/>
    <mergeCell ref="I12:I13"/>
    <mergeCell ref="E15:E25"/>
    <mergeCell ref="G16:G17"/>
    <mergeCell ref="A8:A25"/>
    <mergeCell ref="B8:B25"/>
    <mergeCell ref="C8:C9"/>
    <mergeCell ref="D8:D9"/>
    <mergeCell ref="C15:C25"/>
    <mergeCell ref="D15:D25"/>
    <mergeCell ref="C12:C13"/>
    <mergeCell ref="D12:D13"/>
    <mergeCell ref="E12:E13"/>
    <mergeCell ref="G12:G13"/>
    <mergeCell ref="H12:H13"/>
    <mergeCell ref="A1:AR1"/>
    <mergeCell ref="AT1:AX1"/>
    <mergeCell ref="A2:AR2"/>
    <mergeCell ref="A3:AR3"/>
    <mergeCell ref="A4:AR4"/>
    <mergeCell ref="Q6:Q7"/>
    <mergeCell ref="R6:R7"/>
    <mergeCell ref="S6:S7"/>
    <mergeCell ref="T6:X6"/>
    <mergeCell ref="Y6:AP6"/>
    <mergeCell ref="A5:AR5"/>
    <mergeCell ref="A6:B6"/>
    <mergeCell ref="C6:E6"/>
    <mergeCell ref="G6:J6"/>
    <mergeCell ref="K6:K7"/>
    <mergeCell ref="L6:L7"/>
    <mergeCell ref="M6:M7"/>
    <mergeCell ref="N6:N7"/>
    <mergeCell ref="O6:O7"/>
    <mergeCell ref="P6:P7"/>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63E2F-2DB8-44C2-8726-67FB55B875C3}">
  <dimension ref="A1:AX105"/>
  <sheetViews>
    <sheetView topLeftCell="A84" zoomScale="70" zoomScaleNormal="70" workbookViewId="0">
      <selection activeCell="D104" sqref="D104"/>
    </sheetView>
  </sheetViews>
  <sheetFormatPr defaultColWidth="11.375" defaultRowHeight="14.25"/>
  <cols>
    <col min="1" max="1" width="35" style="3" customWidth="1"/>
    <col min="2" max="2" width="28.375" style="3" customWidth="1"/>
    <col min="3" max="3" width="24" style="3" customWidth="1"/>
    <col min="4" max="4" width="30.375" style="3" customWidth="1"/>
    <col min="5" max="5" width="18.375" style="3" customWidth="1"/>
    <col min="6" max="6" width="20.25" style="3" customWidth="1"/>
    <col min="7" max="7" width="37.375" style="3" customWidth="1"/>
    <col min="8" max="8" width="15" style="3" hidden="1" customWidth="1"/>
    <col min="9" max="10" width="12.75" style="2" hidden="1" customWidth="1"/>
    <col min="11" max="11" width="38.375" style="2" hidden="1" customWidth="1"/>
    <col min="12" max="12" width="57.375" style="2" hidden="1" customWidth="1"/>
    <col min="13" max="13" width="38.125" style="5" customWidth="1"/>
    <col min="14" max="15" width="15" style="3" customWidth="1"/>
    <col min="16" max="16" width="16.25" style="3" customWidth="1"/>
    <col min="17" max="17" width="16.75" style="3" customWidth="1"/>
    <col min="18" max="18" width="16.875" style="3" customWidth="1"/>
    <col min="19" max="19" width="18" style="3" customWidth="1"/>
    <col min="20" max="20" width="20.125" style="3" customWidth="1"/>
    <col min="21" max="21" width="21.375" style="3" customWidth="1"/>
    <col min="22" max="23" width="27.75" style="7" customWidth="1"/>
    <col min="24" max="24" width="28.75" style="7" customWidth="1"/>
    <col min="25" max="28" width="25.375" style="7" hidden="1" customWidth="1"/>
    <col min="29" max="32" width="25.375" style="7" customWidth="1"/>
    <col min="33" max="33" width="27.75" style="7" bestFit="1" customWidth="1"/>
    <col min="34" max="34" width="25.375" style="7" customWidth="1"/>
    <col min="35" max="37" width="34.25" style="7" customWidth="1"/>
    <col min="38"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0" s="1" customFormat="1" ht="30.75" customHeight="1" thickTop="1" thickBot="1">
      <c r="A1" s="1094" t="s">
        <v>969</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9"/>
      <c r="AT1" s="1095" t="s">
        <v>1</v>
      </c>
      <c r="AU1" s="1095"/>
      <c r="AV1" s="1095"/>
      <c r="AW1" s="1095"/>
      <c r="AX1" s="1096"/>
    </row>
    <row r="2" spans="1:50" s="1" customFormat="1" ht="27.95" customHeight="1" thickTop="1" thickBot="1">
      <c r="A2" s="836" t="s">
        <v>970</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19"/>
      <c r="AT2" s="206" t="s">
        <v>3</v>
      </c>
      <c r="AU2" s="18" t="s">
        <v>4</v>
      </c>
      <c r="AV2" s="16" t="s">
        <v>5</v>
      </c>
      <c r="AW2" s="16" t="s">
        <v>6</v>
      </c>
      <c r="AX2" s="16" t="s">
        <v>7</v>
      </c>
    </row>
    <row r="3" spans="1:50" s="1" customFormat="1" ht="25.5" customHeight="1" thickTop="1" thickBot="1">
      <c r="B3" s="1147" t="s">
        <v>720</v>
      </c>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c r="AI3" s="1148"/>
      <c r="AJ3" s="1148"/>
      <c r="AK3" s="1148"/>
      <c r="AL3" s="1148"/>
      <c r="AM3" s="1148"/>
      <c r="AN3" s="1148"/>
      <c r="AO3" s="1148"/>
      <c r="AP3" s="1148"/>
      <c r="AQ3" s="1148"/>
      <c r="AR3" s="1149"/>
      <c r="AS3" s="19"/>
      <c r="AT3" s="1280"/>
      <c r="AU3" s="1258"/>
      <c r="AV3" s="1259"/>
      <c r="AW3" s="1260"/>
      <c r="AX3" s="17"/>
    </row>
    <row r="4" spans="1:50" s="1" customFormat="1" ht="27.95" customHeight="1" thickTop="1" thickBot="1">
      <c r="A4" s="1150" t="s">
        <v>1053</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2"/>
      <c r="AS4" s="19"/>
      <c r="AT4" s="1280"/>
      <c r="AU4" s="1258"/>
      <c r="AV4" s="1259"/>
      <c r="AW4" s="1260"/>
      <c r="AX4" s="17"/>
    </row>
    <row r="5" spans="1:50" s="1" customFormat="1" ht="27.95" customHeight="1" thickTop="1" thickBot="1">
      <c r="A5" s="853"/>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132"/>
      <c r="AT5" s="1280"/>
      <c r="AU5" s="1258"/>
      <c r="AV5" s="1259"/>
      <c r="AW5" s="1260"/>
      <c r="AX5" s="17"/>
    </row>
    <row r="6" spans="1:50" ht="27.95" customHeight="1" thickBot="1">
      <c r="A6" s="856"/>
      <c r="B6" s="857"/>
      <c r="C6" s="858" t="s">
        <v>10</v>
      </c>
      <c r="D6" s="856"/>
      <c r="E6" s="857"/>
      <c r="F6" s="21"/>
      <c r="G6" s="823" t="s">
        <v>11</v>
      </c>
      <c r="H6" s="823"/>
      <c r="I6" s="823"/>
      <c r="J6" s="823"/>
      <c r="K6" s="855" t="s">
        <v>12</v>
      </c>
      <c r="L6" s="855" t="s">
        <v>13</v>
      </c>
      <c r="M6" s="1145" t="s">
        <v>14</v>
      </c>
      <c r="N6" s="826" t="s">
        <v>971</v>
      </c>
      <c r="O6" s="826" t="s">
        <v>15</v>
      </c>
      <c r="P6" s="826" t="s">
        <v>17</v>
      </c>
      <c r="Q6" s="826" t="s">
        <v>18</v>
      </c>
      <c r="R6" s="826" t="s">
        <v>19</v>
      </c>
      <c r="S6" s="826" t="s">
        <v>20</v>
      </c>
      <c r="T6" s="825" t="s">
        <v>21</v>
      </c>
      <c r="U6" s="825"/>
      <c r="V6" s="825"/>
      <c r="W6" s="825"/>
      <c r="X6" s="825"/>
      <c r="Y6" s="1130" t="s">
        <v>1054</v>
      </c>
      <c r="Z6" s="1131"/>
      <c r="AA6" s="1131"/>
      <c r="AB6" s="1131"/>
      <c r="AC6" s="1131"/>
      <c r="AD6" s="1131"/>
      <c r="AE6" s="1132"/>
      <c r="AF6" s="238"/>
      <c r="AG6" s="238"/>
      <c r="AH6" s="238"/>
      <c r="AI6" s="238"/>
      <c r="AJ6" s="238"/>
      <c r="AK6" s="238"/>
      <c r="AL6" s="238"/>
      <c r="AM6" s="238"/>
      <c r="AN6" s="238"/>
      <c r="AO6" s="238"/>
      <c r="AP6" s="238"/>
      <c r="AQ6" s="1133" t="s">
        <v>23</v>
      </c>
      <c r="AR6" s="1153" t="s">
        <v>24</v>
      </c>
      <c r="AS6" s="133"/>
      <c r="AT6" s="18" t="s">
        <v>25</v>
      </c>
      <c r="AU6" s="15" t="s">
        <v>26</v>
      </c>
      <c r="AV6" s="16" t="s">
        <v>27</v>
      </c>
      <c r="AW6" s="16" t="s">
        <v>28</v>
      </c>
      <c r="AX6" s="16" t="s">
        <v>29</v>
      </c>
    </row>
    <row r="7" spans="1:50" ht="68.25" customHeight="1" thickTop="1" thickBot="1">
      <c r="A7" s="20" t="s">
        <v>32</v>
      </c>
      <c r="B7" s="20" t="s">
        <v>33</v>
      </c>
      <c r="C7" s="20" t="s">
        <v>34</v>
      </c>
      <c r="D7" s="20" t="s">
        <v>35</v>
      </c>
      <c r="E7" s="20" t="s">
        <v>972</v>
      </c>
      <c r="F7" s="233" t="s">
        <v>38</v>
      </c>
      <c r="G7" s="234" t="s">
        <v>39</v>
      </c>
      <c r="H7" s="20" t="s">
        <v>35</v>
      </c>
      <c r="I7" s="20" t="s">
        <v>36</v>
      </c>
      <c r="J7" s="20" t="s">
        <v>972</v>
      </c>
      <c r="K7" s="855"/>
      <c r="L7" s="855"/>
      <c r="M7" s="1146"/>
      <c r="N7" s="827"/>
      <c r="O7" s="827"/>
      <c r="P7" s="827"/>
      <c r="Q7" s="827"/>
      <c r="R7" s="827"/>
      <c r="S7" s="827"/>
      <c r="T7" s="20" t="s">
        <v>41</v>
      </c>
      <c r="U7" s="20" t="s">
        <v>42</v>
      </c>
      <c r="V7" s="4" t="s">
        <v>43</v>
      </c>
      <c r="W7" s="4" t="s">
        <v>1014</v>
      </c>
      <c r="X7" s="4" t="s">
        <v>44</v>
      </c>
      <c r="Y7" s="230" t="s">
        <v>45</v>
      </c>
      <c r="Z7" s="230" t="s">
        <v>46</v>
      </c>
      <c r="AA7" s="230" t="s">
        <v>47</v>
      </c>
      <c r="AB7" s="230" t="s">
        <v>48</v>
      </c>
      <c r="AC7" s="230" t="s">
        <v>49</v>
      </c>
      <c r="AD7" s="230" t="s">
        <v>50</v>
      </c>
      <c r="AE7" s="230" t="s">
        <v>51</v>
      </c>
      <c r="AF7" s="239" t="s">
        <v>52</v>
      </c>
      <c r="AG7" s="239" t="s">
        <v>53</v>
      </c>
      <c r="AH7" s="239" t="s">
        <v>54</v>
      </c>
      <c r="AI7" s="239" t="s">
        <v>55</v>
      </c>
      <c r="AJ7" s="239" t="s">
        <v>56</v>
      </c>
      <c r="AK7" s="239" t="s">
        <v>58</v>
      </c>
      <c r="AL7" s="239" t="s">
        <v>59</v>
      </c>
      <c r="AM7" s="239" t="s">
        <v>60</v>
      </c>
      <c r="AN7" s="239" t="s">
        <v>61</v>
      </c>
      <c r="AO7" s="239" t="s">
        <v>62</v>
      </c>
      <c r="AP7" s="239" t="s">
        <v>63</v>
      </c>
      <c r="AQ7" s="1134"/>
      <c r="AR7" s="1154" t="s">
        <v>24</v>
      </c>
      <c r="AS7" s="133"/>
    </row>
    <row r="8" spans="1:50" s="1" customFormat="1" ht="99.75" customHeight="1" thickBot="1">
      <c r="A8" s="766" t="s">
        <v>721</v>
      </c>
      <c r="B8" s="766" t="s">
        <v>240</v>
      </c>
      <c r="C8" s="766" t="s">
        <v>1055</v>
      </c>
      <c r="D8" s="766" t="s">
        <v>72</v>
      </c>
      <c r="E8" s="766">
        <v>4</v>
      </c>
      <c r="F8" s="758" t="s">
        <v>1056</v>
      </c>
      <c r="G8" s="760" t="s">
        <v>1057</v>
      </c>
      <c r="H8" s="51"/>
      <c r="I8" s="52"/>
      <c r="J8" s="52"/>
      <c r="K8" s="53"/>
      <c r="L8" s="54"/>
      <c r="M8" s="54" t="s">
        <v>1058</v>
      </c>
      <c r="N8" s="167">
        <v>100</v>
      </c>
      <c r="O8" s="270" t="s">
        <v>98</v>
      </c>
      <c r="P8" s="167">
        <v>100</v>
      </c>
      <c r="Q8" s="167"/>
      <c r="R8" s="167"/>
      <c r="S8" s="167"/>
      <c r="T8" s="194">
        <v>1020299</v>
      </c>
      <c r="U8" s="167"/>
      <c r="V8" s="140">
        <v>3500000000</v>
      </c>
      <c r="W8" s="140">
        <f>4044687242+268650899</f>
        <v>4313338141</v>
      </c>
      <c r="X8" s="140">
        <f>+V8+W8</f>
        <v>7813338141</v>
      </c>
      <c r="Y8" s="240"/>
      <c r="Z8" s="240"/>
      <c r="AA8" s="240"/>
      <c r="AB8" s="240"/>
      <c r="AC8" s="240">
        <v>4729916752</v>
      </c>
      <c r="AD8" s="240">
        <v>3047960291</v>
      </c>
      <c r="AE8" s="240"/>
      <c r="AF8" s="241"/>
      <c r="AG8" s="241">
        <f>+AC8+AD8+AE8+AF8</f>
        <v>7777877043</v>
      </c>
      <c r="AH8" s="324">
        <f>+AG8/X8</f>
        <v>0.99546146635918387</v>
      </c>
      <c r="AI8" s="241"/>
      <c r="AJ8" s="241"/>
      <c r="AK8" s="241"/>
      <c r="AL8" s="241"/>
      <c r="AM8" s="241"/>
      <c r="AN8" s="241"/>
      <c r="AO8" s="241"/>
      <c r="AP8" s="241"/>
      <c r="AQ8" s="242" t="s">
        <v>244</v>
      </c>
      <c r="AR8" s="242" t="s">
        <v>244</v>
      </c>
      <c r="AS8" s="136"/>
    </row>
    <row r="9" spans="1:50" s="1" customFormat="1" ht="99.75" customHeight="1" thickBot="1">
      <c r="A9" s="758"/>
      <c r="B9" s="758"/>
      <c r="C9" s="758"/>
      <c r="D9" s="758"/>
      <c r="E9" s="758"/>
      <c r="F9" s="758"/>
      <c r="G9" s="758"/>
      <c r="H9" s="51" t="s">
        <v>72</v>
      </c>
      <c r="I9" s="52" t="s">
        <v>69</v>
      </c>
      <c r="J9" s="52">
        <v>0</v>
      </c>
      <c r="K9" s="53"/>
      <c r="L9" s="1165" t="s">
        <v>1059</v>
      </c>
      <c r="M9" s="54" t="s">
        <v>1060</v>
      </c>
      <c r="N9" s="167">
        <v>100</v>
      </c>
      <c r="O9" s="270" t="s">
        <v>98</v>
      </c>
      <c r="P9" s="167">
        <v>100</v>
      </c>
      <c r="Q9" s="167">
        <v>0</v>
      </c>
      <c r="R9" s="167">
        <v>0</v>
      </c>
      <c r="S9" s="167">
        <v>0</v>
      </c>
      <c r="T9" s="1156" t="s">
        <v>1061</v>
      </c>
      <c r="U9" s="766"/>
      <c r="V9" s="910">
        <v>1231229362</v>
      </c>
      <c r="W9" s="184"/>
      <c r="X9" s="910">
        <f>V9</f>
        <v>1231229362</v>
      </c>
      <c r="Y9" s="243"/>
      <c r="Z9" s="243"/>
      <c r="AA9" s="243"/>
      <c r="AB9" s="243"/>
      <c r="AC9" s="243">
        <v>82214410</v>
      </c>
      <c r="AD9" s="243">
        <v>35168262</v>
      </c>
      <c r="AE9" s="243"/>
      <c r="AF9" s="244"/>
      <c r="AG9" s="241">
        <f t="shared" ref="AG9:AG60" si="0">+AC9+AD9+AE9+AF9</f>
        <v>117382672</v>
      </c>
      <c r="AH9" s="1135">
        <f>+(AG9+AG10+AG11)/X9</f>
        <v>0.28601333745645352</v>
      </c>
      <c r="AI9" s="244"/>
      <c r="AJ9" s="244"/>
      <c r="AK9" s="244"/>
      <c r="AL9" s="244"/>
      <c r="AM9" s="244"/>
      <c r="AN9" s="244"/>
      <c r="AO9" s="244"/>
      <c r="AP9" s="244"/>
      <c r="AQ9" s="242" t="s">
        <v>244</v>
      </c>
      <c r="AR9" s="242" t="s">
        <v>244</v>
      </c>
      <c r="AS9" s="788" t="s">
        <v>1062</v>
      </c>
    </row>
    <row r="10" spans="1:50" s="1" customFormat="1" ht="99.75" customHeight="1" thickBot="1">
      <c r="A10" s="758"/>
      <c r="B10" s="758"/>
      <c r="C10" s="758"/>
      <c r="D10" s="758"/>
      <c r="E10" s="758"/>
      <c r="F10" s="758"/>
      <c r="G10" s="758"/>
      <c r="H10" s="55"/>
      <c r="I10" s="193"/>
      <c r="J10" s="193"/>
      <c r="K10" s="56"/>
      <c r="L10" s="750"/>
      <c r="M10" s="163" t="s">
        <v>1063</v>
      </c>
      <c r="N10" s="158">
        <v>100</v>
      </c>
      <c r="O10" s="270" t="s">
        <v>98</v>
      </c>
      <c r="P10" s="158">
        <v>100</v>
      </c>
      <c r="Q10" s="158">
        <v>0</v>
      </c>
      <c r="R10" s="158">
        <v>0</v>
      </c>
      <c r="S10" s="158">
        <v>0</v>
      </c>
      <c r="T10" s="1157"/>
      <c r="U10" s="758"/>
      <c r="V10" s="911"/>
      <c r="W10" s="185"/>
      <c r="X10" s="911"/>
      <c r="Y10" s="243"/>
      <c r="Z10" s="243"/>
      <c r="AA10" s="243"/>
      <c r="AB10" s="243"/>
      <c r="AC10" s="243">
        <v>82214412</v>
      </c>
      <c r="AD10" s="243">
        <v>35168263</v>
      </c>
      <c r="AE10" s="243"/>
      <c r="AF10" s="244"/>
      <c r="AG10" s="241">
        <f t="shared" si="0"/>
        <v>117382675</v>
      </c>
      <c r="AH10" s="1136"/>
      <c r="AI10" s="244"/>
      <c r="AJ10" s="244"/>
      <c r="AK10" s="244"/>
      <c r="AL10" s="244"/>
      <c r="AM10" s="244"/>
      <c r="AN10" s="244"/>
      <c r="AO10" s="244"/>
      <c r="AP10" s="244"/>
      <c r="AQ10" s="242" t="s">
        <v>244</v>
      </c>
      <c r="AR10" s="242" t="s">
        <v>244</v>
      </c>
      <c r="AS10" s="789"/>
    </row>
    <row r="11" spans="1:50" s="1" customFormat="1" ht="99.75" customHeight="1" thickBot="1">
      <c r="A11" s="758"/>
      <c r="B11" s="758"/>
      <c r="C11" s="758"/>
      <c r="D11" s="758"/>
      <c r="E11" s="758"/>
      <c r="F11" s="758"/>
      <c r="G11" s="805"/>
      <c r="H11" s="55"/>
      <c r="I11" s="193"/>
      <c r="J11" s="193"/>
      <c r="K11" s="56"/>
      <c r="L11" s="750"/>
      <c r="M11" s="163" t="s">
        <v>1064</v>
      </c>
      <c r="N11" s="158">
        <v>100</v>
      </c>
      <c r="O11" s="271" t="s">
        <v>1065</v>
      </c>
      <c r="P11" s="158">
        <v>25</v>
      </c>
      <c r="Q11" s="158">
        <v>25</v>
      </c>
      <c r="R11" s="158">
        <v>25</v>
      </c>
      <c r="S11" s="158">
        <v>25</v>
      </c>
      <c r="T11" s="1158"/>
      <c r="U11" s="759"/>
      <c r="V11" s="912"/>
      <c r="W11" s="186"/>
      <c r="X11" s="912"/>
      <c r="Y11" s="243"/>
      <c r="Z11" s="243"/>
      <c r="AA11" s="243"/>
      <c r="AB11" s="243"/>
      <c r="AC11" s="243">
        <v>82214410</v>
      </c>
      <c r="AD11" s="243">
        <v>35168262</v>
      </c>
      <c r="AE11" s="243"/>
      <c r="AF11" s="244"/>
      <c r="AG11" s="241">
        <f t="shared" si="0"/>
        <v>117382672</v>
      </c>
      <c r="AH11" s="1137"/>
      <c r="AI11" s="244"/>
      <c r="AJ11" s="244"/>
      <c r="AK11" s="244"/>
      <c r="AL11" s="244"/>
      <c r="AM11" s="244"/>
      <c r="AN11" s="244"/>
      <c r="AO11" s="244"/>
      <c r="AP11" s="244"/>
      <c r="AQ11" s="242" t="s">
        <v>244</v>
      </c>
      <c r="AR11" s="242" t="s">
        <v>244</v>
      </c>
      <c r="AS11" s="789"/>
    </row>
    <row r="12" spans="1:50" s="1" customFormat="1" ht="99.75" customHeight="1" thickBot="1">
      <c r="A12" s="758"/>
      <c r="B12" s="758"/>
      <c r="C12" s="758"/>
      <c r="D12" s="758"/>
      <c r="E12" s="758"/>
      <c r="F12" s="758"/>
      <c r="G12" s="766" t="s">
        <v>241</v>
      </c>
      <c r="H12" s="55" t="s">
        <v>72</v>
      </c>
      <c r="I12" s="193" t="s">
        <v>69</v>
      </c>
      <c r="J12" s="193">
        <v>0</v>
      </c>
      <c r="K12" s="56"/>
      <c r="L12" s="750"/>
      <c r="M12" s="163" t="s">
        <v>1066</v>
      </c>
      <c r="N12" s="164">
        <v>0.8</v>
      </c>
      <c r="O12" s="271" t="s">
        <v>98</v>
      </c>
      <c r="P12" s="158">
        <v>0</v>
      </c>
      <c r="Q12" s="158">
        <v>50</v>
      </c>
      <c r="R12" s="158">
        <v>25</v>
      </c>
      <c r="S12" s="158">
        <v>25</v>
      </c>
      <c r="T12" s="1156" t="s">
        <v>1067</v>
      </c>
      <c r="U12" s="158"/>
      <c r="V12" s="1138">
        <v>1922861724</v>
      </c>
      <c r="W12" s="1138">
        <f>100000000+610000000</f>
        <v>710000000</v>
      </c>
      <c r="X12" s="1138">
        <f>+V12+W12</f>
        <v>2632861724</v>
      </c>
      <c r="Y12" s="243"/>
      <c r="Z12" s="243"/>
      <c r="AA12" s="243"/>
      <c r="AB12" s="243"/>
      <c r="AC12" s="1139">
        <v>512607684</v>
      </c>
      <c r="AD12" s="1139">
        <v>481441703</v>
      </c>
      <c r="AE12" s="1142"/>
      <c r="AF12" s="1142"/>
      <c r="AG12" s="1139">
        <f>+AC12+AD12+AE12+AF12</f>
        <v>994049387</v>
      </c>
      <c r="AH12" s="1125">
        <f t="shared" ref="AH12:AH72" si="1">+AG12/X12</f>
        <v>0.37755472607569418</v>
      </c>
      <c r="AI12" s="244"/>
      <c r="AJ12" s="244"/>
      <c r="AK12" s="244"/>
      <c r="AL12" s="244"/>
      <c r="AM12" s="244"/>
      <c r="AN12" s="244"/>
      <c r="AO12" s="244"/>
      <c r="AP12" s="244"/>
      <c r="AQ12" s="242" t="s">
        <v>244</v>
      </c>
      <c r="AR12" s="242" t="s">
        <v>244</v>
      </c>
      <c r="AS12" s="789"/>
    </row>
    <row r="13" spans="1:50" s="1" customFormat="1" ht="99.75" customHeight="1" thickBot="1">
      <c r="A13" s="758"/>
      <c r="B13" s="758"/>
      <c r="C13" s="758"/>
      <c r="D13" s="758"/>
      <c r="E13" s="758"/>
      <c r="F13" s="758"/>
      <c r="G13" s="758"/>
      <c r="H13" s="55"/>
      <c r="I13" s="193"/>
      <c r="J13" s="193"/>
      <c r="K13" s="56"/>
      <c r="L13" s="750"/>
      <c r="M13" s="163" t="s">
        <v>1068</v>
      </c>
      <c r="N13" s="235">
        <v>1</v>
      </c>
      <c r="O13" s="158" t="s">
        <v>300</v>
      </c>
      <c r="P13" s="158">
        <v>0</v>
      </c>
      <c r="Q13" s="158">
        <v>0</v>
      </c>
      <c r="R13" s="158">
        <v>0</v>
      </c>
      <c r="S13" s="158">
        <v>1</v>
      </c>
      <c r="T13" s="1157"/>
      <c r="U13" s="158"/>
      <c r="V13" s="1138"/>
      <c r="W13" s="1138"/>
      <c r="X13" s="1138"/>
      <c r="Y13" s="243"/>
      <c r="Z13" s="243"/>
      <c r="AA13" s="243"/>
      <c r="AB13" s="243"/>
      <c r="AC13" s="1140"/>
      <c r="AD13" s="1140"/>
      <c r="AE13" s="1143"/>
      <c r="AF13" s="1143"/>
      <c r="AG13" s="1140"/>
      <c r="AH13" s="1126"/>
      <c r="AI13" s="244"/>
      <c r="AJ13" s="244"/>
      <c r="AK13" s="244"/>
      <c r="AL13" s="244"/>
      <c r="AM13" s="244"/>
      <c r="AN13" s="244"/>
      <c r="AO13" s="244"/>
      <c r="AP13" s="244"/>
      <c r="AQ13" s="242"/>
      <c r="AR13" s="242"/>
      <c r="AS13" s="789"/>
    </row>
    <row r="14" spans="1:50" s="1" customFormat="1" ht="99.75" customHeight="1" thickBot="1">
      <c r="A14" s="758"/>
      <c r="B14" s="758"/>
      <c r="C14" s="758"/>
      <c r="D14" s="758"/>
      <c r="E14" s="758"/>
      <c r="F14" s="758"/>
      <c r="G14" s="759"/>
      <c r="H14" s="55"/>
      <c r="I14" s="193"/>
      <c r="J14" s="193"/>
      <c r="K14" s="56"/>
      <c r="L14" s="750"/>
      <c r="M14" s="163" t="s">
        <v>1069</v>
      </c>
      <c r="N14" s="158">
        <v>100</v>
      </c>
      <c r="O14" s="271" t="s">
        <v>1065</v>
      </c>
      <c r="P14" s="158">
        <v>0</v>
      </c>
      <c r="Q14" s="158">
        <v>0</v>
      </c>
      <c r="R14" s="158">
        <v>0</v>
      </c>
      <c r="S14" s="158">
        <v>100</v>
      </c>
      <c r="T14" s="1158"/>
      <c r="U14" s="158"/>
      <c r="V14" s="1138"/>
      <c r="W14" s="1138"/>
      <c r="X14" s="1138"/>
      <c r="Y14" s="243"/>
      <c r="Z14" s="243"/>
      <c r="AA14" s="243"/>
      <c r="AB14" s="243"/>
      <c r="AC14" s="1140"/>
      <c r="AD14" s="1140"/>
      <c r="AE14" s="1143"/>
      <c r="AF14" s="1143"/>
      <c r="AG14" s="1140"/>
      <c r="AH14" s="1126"/>
      <c r="AI14" s="244"/>
      <c r="AJ14" s="244"/>
      <c r="AK14" s="244"/>
      <c r="AL14" s="244"/>
      <c r="AM14" s="244"/>
      <c r="AN14" s="244"/>
      <c r="AO14" s="244"/>
      <c r="AP14" s="244"/>
      <c r="AQ14" s="242"/>
      <c r="AR14" s="242"/>
      <c r="AS14" s="789"/>
    </row>
    <row r="15" spans="1:50" s="1" customFormat="1" ht="99.75" customHeight="1" thickBot="1">
      <c r="A15" s="758"/>
      <c r="B15" s="758"/>
      <c r="C15" s="758"/>
      <c r="D15" s="758"/>
      <c r="E15" s="758"/>
      <c r="F15" s="758"/>
      <c r="G15" s="760" t="s">
        <v>246</v>
      </c>
      <c r="H15" s="55" t="s">
        <v>72</v>
      </c>
      <c r="I15" s="193" t="s">
        <v>69</v>
      </c>
      <c r="J15" s="193">
        <v>0</v>
      </c>
      <c r="K15" s="56"/>
      <c r="L15" s="750"/>
      <c r="M15" s="163" t="s">
        <v>1070</v>
      </c>
      <c r="N15" s="235">
        <v>1</v>
      </c>
      <c r="O15" s="158" t="s">
        <v>300</v>
      </c>
      <c r="P15" s="158">
        <v>0</v>
      </c>
      <c r="Q15" s="158">
        <v>0</v>
      </c>
      <c r="R15" s="158">
        <v>1</v>
      </c>
      <c r="S15" s="158">
        <v>0</v>
      </c>
      <c r="T15" s="1156" t="s">
        <v>1067</v>
      </c>
      <c r="U15" s="158"/>
      <c r="V15" s="1138"/>
      <c r="W15" s="1138"/>
      <c r="X15" s="1138"/>
      <c r="Y15" s="243"/>
      <c r="Z15" s="243"/>
      <c r="AA15" s="243"/>
      <c r="AB15" s="243"/>
      <c r="AC15" s="1140"/>
      <c r="AD15" s="1140"/>
      <c r="AE15" s="1143"/>
      <c r="AF15" s="1143"/>
      <c r="AG15" s="1140"/>
      <c r="AH15" s="1126"/>
      <c r="AI15" s="244"/>
      <c r="AJ15" s="244"/>
      <c r="AK15" s="244"/>
      <c r="AL15" s="244"/>
      <c r="AM15" s="244"/>
      <c r="AN15" s="244"/>
      <c r="AO15" s="244"/>
      <c r="AP15" s="244"/>
      <c r="AQ15" s="242" t="s">
        <v>244</v>
      </c>
      <c r="AR15" s="242" t="s">
        <v>244</v>
      </c>
      <c r="AS15" s="789"/>
    </row>
    <row r="16" spans="1:50" s="1" customFormat="1" ht="99.75" customHeight="1" thickBot="1">
      <c r="A16" s="758"/>
      <c r="B16" s="758"/>
      <c r="C16" s="758"/>
      <c r="D16" s="758"/>
      <c r="E16" s="758"/>
      <c r="F16" s="758"/>
      <c r="G16" s="758"/>
      <c r="H16" s="55"/>
      <c r="I16" s="193"/>
      <c r="J16" s="193"/>
      <c r="K16" s="56"/>
      <c r="L16" s="750"/>
      <c r="M16" s="163" t="s">
        <v>1069</v>
      </c>
      <c r="N16" s="158">
        <v>100</v>
      </c>
      <c r="O16" s="271" t="s">
        <v>1065</v>
      </c>
      <c r="P16" s="158">
        <v>0</v>
      </c>
      <c r="Q16" s="158">
        <v>0</v>
      </c>
      <c r="R16" s="158">
        <v>100</v>
      </c>
      <c r="S16" s="158">
        <v>0</v>
      </c>
      <c r="T16" s="1157"/>
      <c r="U16" s="158"/>
      <c r="V16" s="1138"/>
      <c r="W16" s="1138"/>
      <c r="X16" s="1138"/>
      <c r="Y16" s="243"/>
      <c r="Z16" s="243"/>
      <c r="AA16" s="243"/>
      <c r="AB16" s="243"/>
      <c r="AC16" s="1140"/>
      <c r="AD16" s="1140"/>
      <c r="AE16" s="1143"/>
      <c r="AF16" s="1143"/>
      <c r="AG16" s="1140"/>
      <c r="AH16" s="1126"/>
      <c r="AI16" s="244"/>
      <c r="AJ16" s="244"/>
      <c r="AK16" s="244"/>
      <c r="AL16" s="244"/>
      <c r="AM16" s="244"/>
      <c r="AN16" s="244"/>
      <c r="AO16" s="244"/>
      <c r="AP16" s="244"/>
      <c r="AQ16" s="242"/>
      <c r="AR16" s="242"/>
      <c r="AS16" s="789"/>
    </row>
    <row r="17" spans="1:45" s="1" customFormat="1" ht="99.75" customHeight="1" thickBot="1">
      <c r="A17" s="758"/>
      <c r="B17" s="758"/>
      <c r="C17" s="758"/>
      <c r="D17" s="758"/>
      <c r="E17" s="758"/>
      <c r="F17" s="758"/>
      <c r="G17" s="758"/>
      <c r="H17" s="55"/>
      <c r="I17" s="193"/>
      <c r="J17" s="193"/>
      <c r="K17" s="56"/>
      <c r="L17" s="750"/>
      <c r="M17" s="163" t="s">
        <v>1071</v>
      </c>
      <c r="N17" s="158">
        <v>100</v>
      </c>
      <c r="O17" s="271" t="s">
        <v>1065</v>
      </c>
      <c r="P17" s="158">
        <v>0</v>
      </c>
      <c r="Q17" s="158">
        <v>25</v>
      </c>
      <c r="R17" s="158">
        <v>75</v>
      </c>
      <c r="S17" s="158">
        <v>0</v>
      </c>
      <c r="T17" s="1157"/>
      <c r="U17" s="158"/>
      <c r="V17" s="1138"/>
      <c r="W17" s="1138"/>
      <c r="X17" s="1138"/>
      <c r="Y17" s="243"/>
      <c r="Z17" s="243"/>
      <c r="AA17" s="243"/>
      <c r="AB17" s="243"/>
      <c r="AC17" s="1140"/>
      <c r="AD17" s="1140"/>
      <c r="AE17" s="1143"/>
      <c r="AF17" s="1143"/>
      <c r="AG17" s="1140"/>
      <c r="AH17" s="1126"/>
      <c r="AI17" s="244"/>
      <c r="AJ17" s="244"/>
      <c r="AK17" s="244"/>
      <c r="AL17" s="244"/>
      <c r="AM17" s="244"/>
      <c r="AN17" s="244"/>
      <c r="AO17" s="244"/>
      <c r="AP17" s="244"/>
      <c r="AQ17" s="242"/>
      <c r="AR17" s="242"/>
      <c r="AS17" s="789"/>
    </row>
    <row r="18" spans="1:45" s="1" customFormat="1" ht="99.75" customHeight="1" thickBot="1">
      <c r="A18" s="758"/>
      <c r="B18" s="758"/>
      <c r="C18" s="758"/>
      <c r="D18" s="758"/>
      <c r="E18" s="758"/>
      <c r="F18" s="758"/>
      <c r="G18" s="759"/>
      <c r="H18" s="55"/>
      <c r="I18" s="193"/>
      <c r="J18" s="193"/>
      <c r="K18" s="56"/>
      <c r="L18" s="750"/>
      <c r="M18" s="163" t="s">
        <v>1072</v>
      </c>
      <c r="N18" s="158">
        <v>100</v>
      </c>
      <c r="O18" s="271" t="s">
        <v>1065</v>
      </c>
      <c r="P18" s="158">
        <v>0</v>
      </c>
      <c r="Q18" s="158">
        <v>50</v>
      </c>
      <c r="R18" s="158">
        <v>50</v>
      </c>
      <c r="S18" s="158"/>
      <c r="T18" s="1158"/>
      <c r="U18" s="158"/>
      <c r="V18" s="1138"/>
      <c r="W18" s="1138"/>
      <c r="X18" s="1138"/>
      <c r="Y18" s="243"/>
      <c r="Z18" s="243"/>
      <c r="AA18" s="243"/>
      <c r="AB18" s="243"/>
      <c r="AC18" s="1140"/>
      <c r="AD18" s="1140"/>
      <c r="AE18" s="1143"/>
      <c r="AF18" s="1143"/>
      <c r="AG18" s="1140"/>
      <c r="AH18" s="1126"/>
      <c r="AI18" s="244"/>
      <c r="AJ18" s="244"/>
      <c r="AK18" s="244"/>
      <c r="AL18" s="244"/>
      <c r="AM18" s="244"/>
      <c r="AN18" s="244"/>
      <c r="AO18" s="244"/>
      <c r="AP18" s="244"/>
      <c r="AQ18" s="242"/>
      <c r="AR18" s="242"/>
      <c r="AS18" s="789"/>
    </row>
    <row r="19" spans="1:45" s="1" customFormat="1" ht="99.75" customHeight="1" thickBot="1">
      <c r="A19" s="758"/>
      <c r="B19" s="758"/>
      <c r="C19" s="759"/>
      <c r="D19" s="759"/>
      <c r="E19" s="759"/>
      <c r="F19" s="759"/>
      <c r="G19" s="760" t="s">
        <v>1073</v>
      </c>
      <c r="H19" s="55" t="s">
        <v>72</v>
      </c>
      <c r="I19" s="193" t="s">
        <v>69</v>
      </c>
      <c r="J19" s="193">
        <v>0</v>
      </c>
      <c r="K19" s="56"/>
      <c r="L19" s="757"/>
      <c r="M19" s="163" t="s">
        <v>1074</v>
      </c>
      <c r="N19" s="235">
        <v>1</v>
      </c>
      <c r="O19" s="158" t="s">
        <v>300</v>
      </c>
      <c r="P19" s="158">
        <v>0</v>
      </c>
      <c r="Q19" s="158">
        <v>0</v>
      </c>
      <c r="R19" s="158">
        <v>0</v>
      </c>
      <c r="S19" s="158">
        <v>1</v>
      </c>
      <c r="T19" s="194" t="s">
        <v>1067</v>
      </c>
      <c r="U19" s="158"/>
      <c r="V19" s="1138"/>
      <c r="W19" s="1138"/>
      <c r="X19" s="1138"/>
      <c r="Y19" s="243"/>
      <c r="Z19" s="243"/>
      <c r="AA19" s="243"/>
      <c r="AB19" s="243"/>
      <c r="AC19" s="1140"/>
      <c r="AD19" s="1140"/>
      <c r="AE19" s="1143"/>
      <c r="AF19" s="1143"/>
      <c r="AG19" s="1140"/>
      <c r="AH19" s="1126"/>
      <c r="AI19" s="244"/>
      <c r="AJ19" s="244"/>
      <c r="AK19" s="244"/>
      <c r="AL19" s="244"/>
      <c r="AM19" s="244"/>
      <c r="AN19" s="244"/>
      <c r="AO19" s="244"/>
      <c r="AP19" s="244"/>
      <c r="AQ19" s="242" t="s">
        <v>244</v>
      </c>
      <c r="AR19" s="242" t="s">
        <v>244</v>
      </c>
      <c r="AS19" s="789"/>
    </row>
    <row r="20" spans="1:45" s="1" customFormat="1" ht="99.75" customHeight="1" thickBot="1">
      <c r="A20" s="758"/>
      <c r="B20" s="758"/>
      <c r="C20" s="158"/>
      <c r="D20" s="158"/>
      <c r="E20" s="158"/>
      <c r="F20" s="157"/>
      <c r="G20" s="758"/>
      <c r="H20" s="55"/>
      <c r="I20" s="193"/>
      <c r="J20" s="193"/>
      <c r="K20" s="165"/>
      <c r="L20" s="192"/>
      <c r="M20" s="163" t="s">
        <v>1069</v>
      </c>
      <c r="N20" s="158">
        <v>100</v>
      </c>
      <c r="O20" s="271" t="s">
        <v>1065</v>
      </c>
      <c r="P20" s="158">
        <v>0</v>
      </c>
      <c r="Q20" s="158">
        <v>0</v>
      </c>
      <c r="R20" s="158">
        <v>50</v>
      </c>
      <c r="S20" s="158">
        <v>50</v>
      </c>
      <c r="T20" s="194"/>
      <c r="U20" s="158"/>
      <c r="V20" s="1138"/>
      <c r="W20" s="1138"/>
      <c r="X20" s="1138"/>
      <c r="Y20" s="243"/>
      <c r="Z20" s="243"/>
      <c r="AA20" s="243"/>
      <c r="AB20" s="243"/>
      <c r="AC20" s="1140"/>
      <c r="AD20" s="1140"/>
      <c r="AE20" s="1143"/>
      <c r="AF20" s="1143"/>
      <c r="AG20" s="1140"/>
      <c r="AH20" s="1126"/>
      <c r="AI20" s="244"/>
      <c r="AJ20" s="244"/>
      <c r="AK20" s="244"/>
      <c r="AL20" s="244"/>
      <c r="AM20" s="244"/>
      <c r="AN20" s="244"/>
      <c r="AO20" s="244"/>
      <c r="AP20" s="244"/>
      <c r="AQ20" s="242"/>
      <c r="AR20" s="242"/>
      <c r="AS20" s="789"/>
    </row>
    <row r="21" spans="1:45" s="1" customFormat="1" ht="99.75" customHeight="1" thickBot="1">
      <c r="A21" s="758"/>
      <c r="B21" s="758"/>
      <c r="C21" s="158"/>
      <c r="D21" s="158"/>
      <c r="E21" s="158"/>
      <c r="F21" s="157"/>
      <c r="G21" s="758"/>
      <c r="H21" s="55"/>
      <c r="I21" s="193"/>
      <c r="J21" s="193"/>
      <c r="K21" s="165"/>
      <c r="L21" s="192"/>
      <c r="M21" s="163" t="s">
        <v>1075</v>
      </c>
      <c r="N21" s="158">
        <v>100</v>
      </c>
      <c r="O21" s="271" t="s">
        <v>1065</v>
      </c>
      <c r="P21" s="158">
        <v>0</v>
      </c>
      <c r="Q21" s="158">
        <v>0</v>
      </c>
      <c r="R21" s="158">
        <v>50</v>
      </c>
      <c r="S21" s="158">
        <v>50</v>
      </c>
      <c r="T21" s="194"/>
      <c r="U21" s="158"/>
      <c r="V21" s="1138"/>
      <c r="W21" s="1138"/>
      <c r="X21" s="1138"/>
      <c r="Y21" s="243"/>
      <c r="Z21" s="243"/>
      <c r="AA21" s="243"/>
      <c r="AB21" s="243"/>
      <c r="AC21" s="1140"/>
      <c r="AD21" s="1140"/>
      <c r="AE21" s="1143"/>
      <c r="AF21" s="1143"/>
      <c r="AG21" s="1140"/>
      <c r="AH21" s="1126"/>
      <c r="AI21" s="244"/>
      <c r="AJ21" s="244"/>
      <c r="AK21" s="244"/>
      <c r="AL21" s="244"/>
      <c r="AM21" s="244"/>
      <c r="AN21" s="244"/>
      <c r="AO21" s="244"/>
      <c r="AP21" s="244"/>
      <c r="AQ21" s="242"/>
      <c r="AR21" s="242"/>
      <c r="AS21" s="789"/>
    </row>
    <row r="22" spans="1:45" s="1" customFormat="1" ht="99.75" customHeight="1" thickBot="1">
      <c r="A22" s="758"/>
      <c r="B22" s="758"/>
      <c r="C22" s="158"/>
      <c r="D22" s="158"/>
      <c r="E22" s="158"/>
      <c r="F22" s="157"/>
      <c r="G22" s="759"/>
      <c r="H22" s="55"/>
      <c r="I22" s="193"/>
      <c r="J22" s="193"/>
      <c r="K22" s="165"/>
      <c r="L22" s="192"/>
      <c r="M22" s="163" t="s">
        <v>1072</v>
      </c>
      <c r="N22" s="158">
        <v>100</v>
      </c>
      <c r="O22" s="271" t="s">
        <v>1065</v>
      </c>
      <c r="P22" s="158">
        <v>0</v>
      </c>
      <c r="Q22" s="158">
        <v>0</v>
      </c>
      <c r="R22" s="158">
        <v>50</v>
      </c>
      <c r="S22" s="158">
        <v>50</v>
      </c>
      <c r="T22" s="194"/>
      <c r="U22" s="158"/>
      <c r="V22" s="1138"/>
      <c r="W22" s="1138"/>
      <c r="X22" s="1138"/>
      <c r="Y22" s="243"/>
      <c r="Z22" s="243"/>
      <c r="AA22" s="243"/>
      <c r="AB22" s="243"/>
      <c r="AC22" s="1140"/>
      <c r="AD22" s="1140"/>
      <c r="AE22" s="1143"/>
      <c r="AF22" s="1143"/>
      <c r="AG22" s="1140"/>
      <c r="AH22" s="1126"/>
      <c r="AI22" s="244"/>
      <c r="AJ22" s="244"/>
      <c r="AK22" s="244"/>
      <c r="AL22" s="244"/>
      <c r="AM22" s="244"/>
      <c r="AN22" s="244"/>
      <c r="AO22" s="244"/>
      <c r="AP22" s="244"/>
      <c r="AQ22" s="242"/>
      <c r="AR22" s="242"/>
      <c r="AS22" s="789"/>
    </row>
    <row r="23" spans="1:45" s="1" customFormat="1" ht="99.75" customHeight="1" thickBot="1">
      <c r="A23" s="758"/>
      <c r="B23" s="758"/>
      <c r="C23" s="158"/>
      <c r="D23" s="158"/>
      <c r="E23" s="158"/>
      <c r="F23" s="157"/>
      <c r="G23" s="760" t="s">
        <v>1076</v>
      </c>
      <c r="H23" s="55"/>
      <c r="I23" s="193"/>
      <c r="J23" s="193"/>
      <c r="K23" s="165"/>
      <c r="L23" s="192"/>
      <c r="M23" s="163" t="s">
        <v>1077</v>
      </c>
      <c r="N23" s="158">
        <v>100</v>
      </c>
      <c r="O23" s="271" t="s">
        <v>1065</v>
      </c>
      <c r="P23" s="158">
        <v>25</v>
      </c>
      <c r="Q23" s="158">
        <v>25</v>
      </c>
      <c r="R23" s="158">
        <v>25</v>
      </c>
      <c r="S23" s="158">
        <v>25</v>
      </c>
      <c r="T23" s="194"/>
      <c r="U23" s="158"/>
      <c r="V23" s="1138"/>
      <c r="W23" s="1138"/>
      <c r="X23" s="1138"/>
      <c r="Y23" s="243"/>
      <c r="Z23" s="243"/>
      <c r="AA23" s="243"/>
      <c r="AB23" s="243"/>
      <c r="AC23" s="1140"/>
      <c r="AD23" s="1140"/>
      <c r="AE23" s="1143"/>
      <c r="AF23" s="1143"/>
      <c r="AG23" s="1140"/>
      <c r="AH23" s="1126"/>
      <c r="AI23" s="244"/>
      <c r="AJ23" s="244"/>
      <c r="AK23" s="244"/>
      <c r="AL23" s="244"/>
      <c r="AM23" s="244"/>
      <c r="AN23" s="244"/>
      <c r="AO23" s="244"/>
      <c r="AP23" s="244"/>
      <c r="AQ23" s="242"/>
      <c r="AR23" s="242"/>
      <c r="AS23" s="789"/>
    </row>
    <row r="24" spans="1:45" s="1" customFormat="1" ht="156.75" customHeight="1" thickBot="1">
      <c r="A24" s="758"/>
      <c r="B24" s="758"/>
      <c r="C24" s="57" t="s">
        <v>251</v>
      </c>
      <c r="D24" s="58" t="s">
        <v>68</v>
      </c>
      <c r="E24" s="58">
        <v>100</v>
      </c>
      <c r="F24" s="760" t="s">
        <v>252</v>
      </c>
      <c r="G24" s="758"/>
      <c r="H24" s="168" t="s">
        <v>93</v>
      </c>
      <c r="I24" s="169">
        <v>95</v>
      </c>
      <c r="J24" s="169">
        <v>95</v>
      </c>
      <c r="K24" s="749"/>
      <c r="L24" s="760" t="s">
        <v>253</v>
      </c>
      <c r="M24" s="170" t="s">
        <v>1078</v>
      </c>
      <c r="N24" s="58">
        <v>100</v>
      </c>
      <c r="O24" s="272" t="s">
        <v>1065</v>
      </c>
      <c r="P24" s="58">
        <v>25</v>
      </c>
      <c r="Q24" s="58">
        <v>25</v>
      </c>
      <c r="R24" s="58">
        <v>25</v>
      </c>
      <c r="S24" s="58">
        <v>25</v>
      </c>
      <c r="T24" s="194" t="s">
        <v>1067</v>
      </c>
      <c r="U24" s="58"/>
      <c r="V24" s="1138"/>
      <c r="W24" s="1138"/>
      <c r="X24" s="1138"/>
      <c r="Y24" s="243"/>
      <c r="Z24" s="243"/>
      <c r="AA24" s="243"/>
      <c r="AB24" s="243"/>
      <c r="AC24" s="1140"/>
      <c r="AD24" s="1140"/>
      <c r="AE24" s="1143"/>
      <c r="AF24" s="1143"/>
      <c r="AG24" s="1140"/>
      <c r="AH24" s="1126"/>
      <c r="AI24" s="244"/>
      <c r="AJ24" s="244"/>
      <c r="AK24" s="244"/>
      <c r="AL24" s="244"/>
      <c r="AM24" s="244"/>
      <c r="AN24" s="244"/>
      <c r="AO24" s="244"/>
      <c r="AP24" s="244"/>
      <c r="AQ24" s="242" t="s">
        <v>244</v>
      </c>
      <c r="AR24" s="242" t="s">
        <v>244</v>
      </c>
      <c r="AS24" s="789"/>
    </row>
    <row r="25" spans="1:45" s="1" customFormat="1" ht="156.75" customHeight="1" thickBot="1">
      <c r="A25" s="758"/>
      <c r="B25" s="758"/>
      <c r="C25" s="166"/>
      <c r="D25" s="159"/>
      <c r="E25" s="159"/>
      <c r="F25" s="758"/>
      <c r="G25" s="759"/>
      <c r="H25" s="168"/>
      <c r="I25" s="169"/>
      <c r="J25" s="169"/>
      <c r="K25" s="750"/>
      <c r="L25" s="758"/>
      <c r="M25" s="170" t="s">
        <v>1079</v>
      </c>
      <c r="N25" s="198">
        <v>1</v>
      </c>
      <c r="O25" s="58" t="s">
        <v>300</v>
      </c>
      <c r="P25" s="58">
        <v>1</v>
      </c>
      <c r="Q25" s="58">
        <v>0</v>
      </c>
      <c r="R25" s="58">
        <v>0</v>
      </c>
      <c r="S25" s="58">
        <v>0</v>
      </c>
      <c r="T25" s="194"/>
      <c r="U25" s="58"/>
      <c r="V25" s="1138"/>
      <c r="W25" s="1138"/>
      <c r="X25" s="1138"/>
      <c r="Y25" s="243"/>
      <c r="Z25" s="243"/>
      <c r="AA25" s="243"/>
      <c r="AB25" s="243"/>
      <c r="AC25" s="1140"/>
      <c r="AD25" s="1140"/>
      <c r="AE25" s="1143"/>
      <c r="AF25" s="1143"/>
      <c r="AG25" s="1140"/>
      <c r="AH25" s="1126"/>
      <c r="AI25" s="244"/>
      <c r="AJ25" s="244"/>
      <c r="AK25" s="244"/>
      <c r="AL25" s="244"/>
      <c r="AM25" s="244"/>
      <c r="AN25" s="244"/>
      <c r="AO25" s="244"/>
      <c r="AP25" s="244"/>
      <c r="AQ25" s="242"/>
      <c r="AR25" s="242"/>
      <c r="AS25" s="789"/>
    </row>
    <row r="26" spans="1:45" s="1" customFormat="1" ht="156.75" customHeight="1" thickBot="1">
      <c r="A26" s="758"/>
      <c r="B26" s="758"/>
      <c r="C26" s="166"/>
      <c r="D26" s="159"/>
      <c r="E26" s="159"/>
      <c r="F26" s="758"/>
      <c r="G26" s="760" t="s">
        <v>255</v>
      </c>
      <c r="H26" s="168"/>
      <c r="I26" s="169"/>
      <c r="J26" s="169"/>
      <c r="K26" s="750"/>
      <c r="L26" s="758"/>
      <c r="M26" s="170" t="s">
        <v>1080</v>
      </c>
      <c r="N26" s="58">
        <v>100</v>
      </c>
      <c r="O26" s="272" t="s">
        <v>98</v>
      </c>
      <c r="P26" s="58">
        <v>50</v>
      </c>
      <c r="Q26" s="58">
        <v>25</v>
      </c>
      <c r="R26" s="58">
        <v>25</v>
      </c>
      <c r="S26" s="58">
        <v>0</v>
      </c>
      <c r="T26" s="194"/>
      <c r="U26" s="58"/>
      <c r="V26" s="1138"/>
      <c r="W26" s="1138"/>
      <c r="X26" s="1138"/>
      <c r="Y26" s="243"/>
      <c r="Z26" s="243"/>
      <c r="AA26" s="243"/>
      <c r="AB26" s="243"/>
      <c r="AC26" s="1140"/>
      <c r="AD26" s="1140"/>
      <c r="AE26" s="1143"/>
      <c r="AF26" s="1143"/>
      <c r="AG26" s="1140"/>
      <c r="AH26" s="1126"/>
      <c r="AI26" s="244"/>
      <c r="AJ26" s="244"/>
      <c r="AK26" s="244"/>
      <c r="AL26" s="244"/>
      <c r="AM26" s="244"/>
      <c r="AN26" s="244"/>
      <c r="AO26" s="244"/>
      <c r="AP26" s="244"/>
      <c r="AQ26" s="242"/>
      <c r="AR26" s="242"/>
      <c r="AS26" s="789"/>
    </row>
    <row r="27" spans="1:45" s="1" customFormat="1" ht="156.75" customHeight="1" thickBot="1">
      <c r="A27" s="758"/>
      <c r="B27" s="758"/>
      <c r="C27" s="760" t="s">
        <v>874</v>
      </c>
      <c r="D27" s="760" t="s">
        <v>72</v>
      </c>
      <c r="E27" s="760">
        <v>9</v>
      </c>
      <c r="F27" s="758"/>
      <c r="G27" s="759"/>
      <c r="H27" s="168" t="s">
        <v>135</v>
      </c>
      <c r="I27" s="169">
        <v>9.57</v>
      </c>
      <c r="J27" s="169">
        <v>9.57</v>
      </c>
      <c r="K27" s="750"/>
      <c r="L27" s="758"/>
      <c r="M27" s="170" t="s">
        <v>1081</v>
      </c>
      <c r="N27" s="58">
        <v>100</v>
      </c>
      <c r="O27" s="272" t="s">
        <v>98</v>
      </c>
      <c r="P27" s="58">
        <v>25</v>
      </c>
      <c r="Q27" s="58">
        <v>25</v>
      </c>
      <c r="R27" s="58">
        <v>25</v>
      </c>
      <c r="S27" s="58">
        <v>25</v>
      </c>
      <c r="T27" s="194" t="s">
        <v>1067</v>
      </c>
      <c r="U27" s="58"/>
      <c r="V27" s="1138"/>
      <c r="W27" s="1138"/>
      <c r="X27" s="1138"/>
      <c r="Y27" s="243"/>
      <c r="Z27" s="243"/>
      <c r="AA27" s="243"/>
      <c r="AB27" s="243"/>
      <c r="AC27" s="1140"/>
      <c r="AD27" s="1140"/>
      <c r="AE27" s="1143"/>
      <c r="AF27" s="1143"/>
      <c r="AG27" s="1140"/>
      <c r="AH27" s="1126"/>
      <c r="AI27" s="244"/>
      <c r="AJ27" s="244"/>
      <c r="AK27" s="244"/>
      <c r="AL27" s="244"/>
      <c r="AM27" s="244"/>
      <c r="AN27" s="244"/>
      <c r="AO27" s="244"/>
      <c r="AP27" s="244"/>
      <c r="AQ27" s="242" t="s">
        <v>244</v>
      </c>
      <c r="AR27" s="242" t="s">
        <v>244</v>
      </c>
      <c r="AS27" s="789"/>
    </row>
    <row r="28" spans="1:45" s="1" customFormat="1" ht="156.75" customHeight="1" thickBot="1">
      <c r="A28" s="758"/>
      <c r="B28" s="758"/>
      <c r="C28" s="758"/>
      <c r="D28" s="758"/>
      <c r="E28" s="758"/>
      <c r="F28" s="758"/>
      <c r="G28" s="760" t="s">
        <v>258</v>
      </c>
      <c r="H28" s="168"/>
      <c r="I28" s="169"/>
      <c r="J28" s="169"/>
      <c r="K28" s="750"/>
      <c r="L28" s="758"/>
      <c r="M28" s="170" t="s">
        <v>1082</v>
      </c>
      <c r="N28" s="198">
        <v>2</v>
      </c>
      <c r="O28" s="58" t="s">
        <v>300</v>
      </c>
      <c r="P28" s="58">
        <v>1</v>
      </c>
      <c r="Q28" s="58">
        <v>1</v>
      </c>
      <c r="R28" s="58">
        <v>0</v>
      </c>
      <c r="S28" s="58">
        <v>0</v>
      </c>
      <c r="T28" s="194"/>
      <c r="U28" s="58"/>
      <c r="V28" s="1138"/>
      <c r="W28" s="1138"/>
      <c r="X28" s="1138"/>
      <c r="Y28" s="243"/>
      <c r="Z28" s="243"/>
      <c r="AA28" s="243"/>
      <c r="AB28" s="243"/>
      <c r="AC28" s="1140"/>
      <c r="AD28" s="1140"/>
      <c r="AE28" s="1143"/>
      <c r="AF28" s="1143"/>
      <c r="AG28" s="1140"/>
      <c r="AH28" s="1126"/>
      <c r="AI28" s="244"/>
      <c r="AJ28" s="244"/>
      <c r="AK28" s="244"/>
      <c r="AL28" s="244"/>
      <c r="AM28" s="244"/>
      <c r="AN28" s="244"/>
      <c r="AO28" s="244"/>
      <c r="AP28" s="244"/>
      <c r="AQ28" s="242"/>
      <c r="AR28" s="242"/>
      <c r="AS28" s="789"/>
    </row>
    <row r="29" spans="1:45" s="1" customFormat="1" ht="156.75" customHeight="1" thickBot="1">
      <c r="A29" s="758"/>
      <c r="B29" s="758"/>
      <c r="C29" s="758"/>
      <c r="D29" s="758"/>
      <c r="E29" s="758"/>
      <c r="F29" s="758"/>
      <c r="G29" s="758"/>
      <c r="H29" s="168"/>
      <c r="I29" s="169"/>
      <c r="J29" s="169"/>
      <c r="K29" s="750"/>
      <c r="L29" s="758"/>
      <c r="M29" s="170" t="s">
        <v>1083</v>
      </c>
      <c r="N29" s="58">
        <v>100</v>
      </c>
      <c r="O29" s="272" t="s">
        <v>1065</v>
      </c>
      <c r="P29" s="58">
        <v>25</v>
      </c>
      <c r="Q29" s="58">
        <v>25</v>
      </c>
      <c r="R29" s="58">
        <v>25</v>
      </c>
      <c r="S29" s="58">
        <v>25</v>
      </c>
      <c r="T29" s="194"/>
      <c r="U29" s="58"/>
      <c r="V29" s="1138"/>
      <c r="W29" s="1138"/>
      <c r="X29" s="1138"/>
      <c r="Y29" s="243"/>
      <c r="Z29" s="243"/>
      <c r="AA29" s="243"/>
      <c r="AB29" s="243"/>
      <c r="AC29" s="1140"/>
      <c r="AD29" s="1140"/>
      <c r="AE29" s="1143"/>
      <c r="AF29" s="1143"/>
      <c r="AG29" s="1140"/>
      <c r="AH29" s="1126"/>
      <c r="AI29" s="244"/>
      <c r="AJ29" s="244"/>
      <c r="AK29" s="244"/>
      <c r="AL29" s="244"/>
      <c r="AM29" s="244"/>
      <c r="AN29" s="244"/>
      <c r="AO29" s="244"/>
      <c r="AP29" s="244"/>
      <c r="AQ29" s="242"/>
      <c r="AR29" s="242"/>
      <c r="AS29" s="789"/>
    </row>
    <row r="30" spans="1:45" s="1" customFormat="1" ht="156.75" customHeight="1" thickBot="1">
      <c r="A30" s="758"/>
      <c r="B30" s="758"/>
      <c r="C30" s="758"/>
      <c r="D30" s="758"/>
      <c r="E30" s="758"/>
      <c r="F30" s="758"/>
      <c r="G30" s="759"/>
      <c r="H30" s="168" t="s">
        <v>135</v>
      </c>
      <c r="I30" s="169">
        <v>10.9</v>
      </c>
      <c r="J30" s="169">
        <v>10</v>
      </c>
      <c r="K30" s="750"/>
      <c r="L30" s="758"/>
      <c r="M30" s="170" t="s">
        <v>1084</v>
      </c>
      <c r="N30" s="58">
        <v>100</v>
      </c>
      <c r="O30" s="272" t="s">
        <v>1065</v>
      </c>
      <c r="P30" s="58">
        <v>25</v>
      </c>
      <c r="Q30" s="58">
        <v>25</v>
      </c>
      <c r="R30" s="58">
        <v>25</v>
      </c>
      <c r="S30" s="58">
        <v>25</v>
      </c>
      <c r="T30" s="194" t="s">
        <v>1067</v>
      </c>
      <c r="U30" s="58"/>
      <c r="V30" s="1138"/>
      <c r="W30" s="1138"/>
      <c r="X30" s="1138"/>
      <c r="Y30" s="243"/>
      <c r="Z30" s="243"/>
      <c r="AA30" s="243"/>
      <c r="AB30" s="243"/>
      <c r="AC30" s="1140"/>
      <c r="AD30" s="1140"/>
      <c r="AE30" s="1143"/>
      <c r="AF30" s="1143"/>
      <c r="AG30" s="1140"/>
      <c r="AH30" s="1126"/>
      <c r="AI30" s="244"/>
      <c r="AJ30" s="244"/>
      <c r="AK30" s="244"/>
      <c r="AL30" s="244"/>
      <c r="AM30" s="244"/>
      <c r="AN30" s="244"/>
      <c r="AO30" s="244"/>
      <c r="AP30" s="244"/>
      <c r="AQ30" s="242" t="s">
        <v>244</v>
      </c>
      <c r="AR30" s="242" t="s">
        <v>244</v>
      </c>
      <c r="AS30" s="789"/>
    </row>
    <row r="31" spans="1:45" s="1" customFormat="1" ht="156.75" customHeight="1" thickBot="1">
      <c r="A31" s="758"/>
      <c r="B31" s="758"/>
      <c r="C31" s="758"/>
      <c r="D31" s="758"/>
      <c r="E31" s="758"/>
      <c r="F31" s="758"/>
      <c r="G31" s="760" t="s">
        <v>260</v>
      </c>
      <c r="H31" s="168"/>
      <c r="I31" s="169"/>
      <c r="J31" s="169"/>
      <c r="K31" s="750"/>
      <c r="L31" s="758"/>
      <c r="M31" s="170" t="s">
        <v>1085</v>
      </c>
      <c r="N31" s="198">
        <v>1</v>
      </c>
      <c r="O31" s="58" t="s">
        <v>300</v>
      </c>
      <c r="P31" s="58">
        <v>1</v>
      </c>
      <c r="Q31" s="58">
        <v>0</v>
      </c>
      <c r="R31" s="58">
        <v>0</v>
      </c>
      <c r="S31" s="58">
        <v>0</v>
      </c>
      <c r="T31" s="194"/>
      <c r="U31" s="58"/>
      <c r="V31" s="1138"/>
      <c r="W31" s="1138"/>
      <c r="X31" s="1138"/>
      <c r="Y31" s="243"/>
      <c r="Z31" s="243"/>
      <c r="AA31" s="243"/>
      <c r="AB31" s="243"/>
      <c r="AC31" s="1141"/>
      <c r="AD31" s="1141"/>
      <c r="AE31" s="1144"/>
      <c r="AF31" s="1144"/>
      <c r="AG31" s="1141"/>
      <c r="AH31" s="1127"/>
      <c r="AI31" s="244"/>
      <c r="AJ31" s="244"/>
      <c r="AK31" s="244"/>
      <c r="AL31" s="244"/>
      <c r="AM31" s="244"/>
      <c r="AN31" s="244"/>
      <c r="AO31" s="244"/>
      <c r="AP31" s="244"/>
      <c r="AQ31" s="242"/>
      <c r="AR31" s="242"/>
      <c r="AS31" s="789"/>
    </row>
    <row r="32" spans="1:45" s="1" customFormat="1" ht="156.75" customHeight="1" thickBot="1">
      <c r="A32" s="758"/>
      <c r="B32" s="758"/>
      <c r="C32" s="758"/>
      <c r="D32" s="758"/>
      <c r="E32" s="758"/>
      <c r="F32" s="758"/>
      <c r="G32" s="758"/>
      <c r="H32" s="168"/>
      <c r="I32" s="169"/>
      <c r="J32" s="169"/>
      <c r="K32" s="750"/>
      <c r="L32" s="758"/>
      <c r="M32" s="170" t="s">
        <v>1086</v>
      </c>
      <c r="N32" s="58">
        <v>100</v>
      </c>
      <c r="O32" s="272" t="s">
        <v>1065</v>
      </c>
      <c r="P32" s="58">
        <v>25</v>
      </c>
      <c r="Q32" s="58">
        <v>25</v>
      </c>
      <c r="R32" s="58">
        <v>25</v>
      </c>
      <c r="S32" s="58">
        <v>25</v>
      </c>
      <c r="T32" s="194"/>
      <c r="U32" s="58"/>
      <c r="V32" s="1138">
        <f>28346272942-400000000</f>
        <v>27946272942</v>
      </c>
      <c r="W32" s="1138">
        <f>1535000000-500000000+1362586365</f>
        <v>2397586365</v>
      </c>
      <c r="X32" s="1138">
        <f>+V32+W32</f>
        <v>30343859307</v>
      </c>
      <c r="Y32" s="243"/>
      <c r="Z32" s="243"/>
      <c r="AA32" s="243"/>
      <c r="AB32" s="243"/>
      <c r="AC32" s="1139">
        <v>9268041198</v>
      </c>
      <c r="AD32" s="1139">
        <v>3097137945</v>
      </c>
      <c r="AE32" s="1142"/>
      <c r="AF32" s="1142"/>
      <c r="AG32" s="1139">
        <f>+AC32+AD32+AE32+AF32</f>
        <v>12365179143</v>
      </c>
      <c r="AH32" s="1125">
        <f t="shared" si="1"/>
        <v>0.40750186118044274</v>
      </c>
      <c r="AI32" s="244"/>
      <c r="AJ32" s="244"/>
      <c r="AK32" s="244"/>
      <c r="AL32" s="244"/>
      <c r="AM32" s="244"/>
      <c r="AN32" s="244"/>
      <c r="AO32" s="244"/>
      <c r="AP32" s="244"/>
      <c r="AQ32" s="242"/>
      <c r="AR32" s="242"/>
      <c r="AS32" s="789"/>
    </row>
    <row r="33" spans="1:45" s="1" customFormat="1" ht="156.75" customHeight="1" thickBot="1">
      <c r="A33" s="758"/>
      <c r="B33" s="758"/>
      <c r="C33" s="758"/>
      <c r="D33" s="758"/>
      <c r="E33" s="758"/>
      <c r="F33" s="758"/>
      <c r="G33" s="759"/>
      <c r="H33" s="168" t="s">
        <v>135</v>
      </c>
      <c r="I33" s="169">
        <v>13.2</v>
      </c>
      <c r="J33" s="169">
        <v>12</v>
      </c>
      <c r="K33" s="750"/>
      <c r="L33" s="758"/>
      <c r="M33" s="170" t="s">
        <v>1084</v>
      </c>
      <c r="N33" s="58">
        <v>100</v>
      </c>
      <c r="O33" s="272" t="s">
        <v>98</v>
      </c>
      <c r="P33" s="58">
        <v>25</v>
      </c>
      <c r="Q33" s="58">
        <v>25</v>
      </c>
      <c r="R33" s="58">
        <v>25</v>
      </c>
      <c r="S33" s="58">
        <v>25</v>
      </c>
      <c r="T33" s="194" t="s">
        <v>1067</v>
      </c>
      <c r="U33" s="58"/>
      <c r="V33" s="1138"/>
      <c r="W33" s="1138"/>
      <c r="X33" s="1138"/>
      <c r="Y33" s="243"/>
      <c r="Z33" s="243"/>
      <c r="AA33" s="243"/>
      <c r="AB33" s="243"/>
      <c r="AC33" s="1140"/>
      <c r="AD33" s="1140"/>
      <c r="AE33" s="1143"/>
      <c r="AF33" s="1143"/>
      <c r="AG33" s="1140"/>
      <c r="AH33" s="1126"/>
      <c r="AI33" s="244"/>
      <c r="AJ33" s="244"/>
      <c r="AK33" s="244"/>
      <c r="AL33" s="244"/>
      <c r="AM33" s="244"/>
      <c r="AN33" s="244"/>
      <c r="AO33" s="244"/>
      <c r="AP33" s="244"/>
      <c r="AQ33" s="242" t="s">
        <v>244</v>
      </c>
      <c r="AR33" s="242" t="s">
        <v>244</v>
      </c>
      <c r="AS33" s="789"/>
    </row>
    <row r="34" spans="1:45" s="1" customFormat="1" ht="156.75" customHeight="1" thickBot="1">
      <c r="A34" s="758"/>
      <c r="B34" s="758"/>
      <c r="C34" s="758"/>
      <c r="D34" s="758"/>
      <c r="E34" s="758"/>
      <c r="F34" s="758"/>
      <c r="G34" s="760" t="s">
        <v>262</v>
      </c>
      <c r="H34" s="168"/>
      <c r="I34" s="169"/>
      <c r="J34" s="169"/>
      <c r="K34" s="750"/>
      <c r="L34" s="758"/>
      <c r="M34" s="170" t="s">
        <v>1085</v>
      </c>
      <c r="N34" s="198">
        <v>1</v>
      </c>
      <c r="O34" s="58" t="s">
        <v>1087</v>
      </c>
      <c r="P34" s="58">
        <v>1</v>
      </c>
      <c r="Q34" s="58">
        <v>0</v>
      </c>
      <c r="R34" s="58">
        <v>0</v>
      </c>
      <c r="S34" s="58">
        <v>0</v>
      </c>
      <c r="T34" s="194"/>
      <c r="U34" s="58"/>
      <c r="V34" s="1138"/>
      <c r="W34" s="1138"/>
      <c r="X34" s="1138"/>
      <c r="Y34" s="243"/>
      <c r="Z34" s="243"/>
      <c r="AA34" s="243"/>
      <c r="AB34" s="243"/>
      <c r="AC34" s="1140"/>
      <c r="AD34" s="1140"/>
      <c r="AE34" s="1143"/>
      <c r="AF34" s="1143"/>
      <c r="AG34" s="1140"/>
      <c r="AH34" s="1126"/>
      <c r="AI34" s="244"/>
      <c r="AJ34" s="244"/>
      <c r="AK34" s="244"/>
      <c r="AL34" s="244"/>
      <c r="AM34" s="244"/>
      <c r="AN34" s="244"/>
      <c r="AO34" s="244"/>
      <c r="AP34" s="244"/>
      <c r="AQ34" s="242"/>
      <c r="AR34" s="242"/>
      <c r="AS34" s="789"/>
    </row>
    <row r="35" spans="1:45" s="1" customFormat="1" ht="156.75" customHeight="1" thickBot="1">
      <c r="A35" s="758"/>
      <c r="B35" s="758"/>
      <c r="C35" s="758"/>
      <c r="D35" s="758"/>
      <c r="E35" s="758"/>
      <c r="F35" s="758"/>
      <c r="G35" s="758"/>
      <c r="H35" s="168"/>
      <c r="I35" s="169"/>
      <c r="J35" s="169"/>
      <c r="K35" s="750"/>
      <c r="L35" s="758"/>
      <c r="M35" s="170" t="s">
        <v>1088</v>
      </c>
      <c r="N35" s="58">
        <v>100</v>
      </c>
      <c r="O35" s="272" t="s">
        <v>98</v>
      </c>
      <c r="P35" s="58">
        <v>25</v>
      </c>
      <c r="Q35" s="58">
        <v>25</v>
      </c>
      <c r="R35" s="58">
        <v>25</v>
      </c>
      <c r="S35" s="58">
        <v>25</v>
      </c>
      <c r="T35" s="194"/>
      <c r="U35" s="58"/>
      <c r="V35" s="1138"/>
      <c r="W35" s="1138"/>
      <c r="X35" s="1138"/>
      <c r="Y35" s="243"/>
      <c r="Z35" s="243"/>
      <c r="AA35" s="243"/>
      <c r="AB35" s="243"/>
      <c r="AC35" s="1140"/>
      <c r="AD35" s="1140"/>
      <c r="AE35" s="1143"/>
      <c r="AF35" s="1143"/>
      <c r="AG35" s="1140"/>
      <c r="AH35" s="1126"/>
      <c r="AI35" s="244"/>
      <c r="AJ35" s="244"/>
      <c r="AK35" s="244"/>
      <c r="AL35" s="244"/>
      <c r="AM35" s="244"/>
      <c r="AN35" s="244"/>
      <c r="AO35" s="244"/>
      <c r="AP35" s="244"/>
      <c r="AQ35" s="242"/>
      <c r="AR35" s="242"/>
      <c r="AS35" s="789"/>
    </row>
    <row r="36" spans="1:45" s="1" customFormat="1" ht="156.75" customHeight="1" thickBot="1">
      <c r="A36" s="758"/>
      <c r="B36" s="758"/>
      <c r="C36" s="758"/>
      <c r="D36" s="758"/>
      <c r="E36" s="758"/>
      <c r="F36" s="758"/>
      <c r="G36" s="759"/>
      <c r="H36" s="168" t="s">
        <v>135</v>
      </c>
      <c r="I36" s="169">
        <v>15</v>
      </c>
      <c r="J36" s="169">
        <v>15</v>
      </c>
      <c r="K36" s="750"/>
      <c r="L36" s="758"/>
      <c r="M36" s="170" t="s">
        <v>1089</v>
      </c>
      <c r="N36" s="58">
        <v>100</v>
      </c>
      <c r="O36" s="272" t="s">
        <v>98</v>
      </c>
      <c r="P36" s="58">
        <v>25</v>
      </c>
      <c r="Q36" s="58">
        <v>25</v>
      </c>
      <c r="R36" s="58">
        <v>25</v>
      </c>
      <c r="S36" s="58">
        <v>25</v>
      </c>
      <c r="T36" s="194" t="s">
        <v>1067</v>
      </c>
      <c r="U36" s="58"/>
      <c r="V36" s="1138"/>
      <c r="W36" s="1138"/>
      <c r="X36" s="1138"/>
      <c r="Y36" s="243"/>
      <c r="Z36" s="243"/>
      <c r="AA36" s="243"/>
      <c r="AB36" s="243"/>
      <c r="AC36" s="1140"/>
      <c r="AD36" s="1140"/>
      <c r="AE36" s="1143"/>
      <c r="AF36" s="1143"/>
      <c r="AG36" s="1140"/>
      <c r="AH36" s="1126"/>
      <c r="AI36" s="244"/>
      <c r="AJ36" s="244"/>
      <c r="AK36" s="244"/>
      <c r="AL36" s="244"/>
      <c r="AM36" s="244"/>
      <c r="AN36" s="244"/>
      <c r="AO36" s="244"/>
      <c r="AP36" s="244"/>
      <c r="AQ36" s="242" t="s">
        <v>244</v>
      </c>
      <c r="AR36" s="242" t="s">
        <v>244</v>
      </c>
      <c r="AS36" s="789"/>
    </row>
    <row r="37" spans="1:45" s="1" customFormat="1" ht="156.75" customHeight="1" thickBot="1">
      <c r="A37" s="758"/>
      <c r="B37" s="758"/>
      <c r="C37" s="758"/>
      <c r="D37" s="758"/>
      <c r="E37" s="758"/>
      <c r="F37" s="758"/>
      <c r="G37" s="760" t="s">
        <v>265</v>
      </c>
      <c r="H37" s="168" t="s">
        <v>266</v>
      </c>
      <c r="I37" s="169">
        <v>21</v>
      </c>
      <c r="J37" s="169">
        <v>21</v>
      </c>
      <c r="K37" s="750"/>
      <c r="L37" s="758"/>
      <c r="M37" s="170" t="s">
        <v>1090</v>
      </c>
      <c r="N37" s="58">
        <v>100</v>
      </c>
      <c r="O37" s="272" t="s">
        <v>98</v>
      </c>
      <c r="P37" s="58">
        <v>25</v>
      </c>
      <c r="Q37" s="58">
        <v>25</v>
      </c>
      <c r="R37" s="58">
        <v>25</v>
      </c>
      <c r="S37" s="58">
        <v>25</v>
      </c>
      <c r="T37" s="194" t="s">
        <v>1067</v>
      </c>
      <c r="U37" s="58"/>
      <c r="V37" s="1138"/>
      <c r="W37" s="1138"/>
      <c r="X37" s="1138"/>
      <c r="Y37" s="243"/>
      <c r="Z37" s="243"/>
      <c r="AA37" s="243"/>
      <c r="AB37" s="243"/>
      <c r="AC37" s="1140"/>
      <c r="AD37" s="1140"/>
      <c r="AE37" s="1143"/>
      <c r="AF37" s="1143"/>
      <c r="AG37" s="1140"/>
      <c r="AH37" s="1126"/>
      <c r="AI37" s="244"/>
      <c r="AJ37" s="244"/>
      <c r="AK37" s="244"/>
      <c r="AL37" s="244"/>
      <c r="AM37" s="244"/>
      <c r="AN37" s="244"/>
      <c r="AO37" s="244"/>
      <c r="AP37" s="244"/>
      <c r="AQ37" s="242" t="s">
        <v>244</v>
      </c>
      <c r="AR37" s="242" t="s">
        <v>244</v>
      </c>
      <c r="AS37" s="789"/>
    </row>
    <row r="38" spans="1:45" s="1" customFormat="1" ht="156.75" customHeight="1" thickBot="1">
      <c r="A38" s="758"/>
      <c r="B38" s="758"/>
      <c r="C38" s="758"/>
      <c r="D38" s="758"/>
      <c r="E38" s="758"/>
      <c r="F38" s="758"/>
      <c r="G38" s="758"/>
      <c r="H38" s="168"/>
      <c r="I38" s="169"/>
      <c r="J38" s="169"/>
      <c r="K38" s="750"/>
      <c r="L38" s="758"/>
      <c r="M38" s="170" t="s">
        <v>1091</v>
      </c>
      <c r="N38" s="58">
        <v>100</v>
      </c>
      <c r="O38" s="272" t="s">
        <v>98</v>
      </c>
      <c r="P38" s="58">
        <v>25</v>
      </c>
      <c r="Q38" s="58">
        <v>25</v>
      </c>
      <c r="R38" s="58">
        <v>25</v>
      </c>
      <c r="S38" s="58">
        <v>25</v>
      </c>
      <c r="T38" s="194"/>
      <c r="U38" s="58"/>
      <c r="V38" s="1138"/>
      <c r="W38" s="1138"/>
      <c r="X38" s="1138"/>
      <c r="Y38" s="243"/>
      <c r="Z38" s="243"/>
      <c r="AA38" s="243"/>
      <c r="AB38" s="243"/>
      <c r="AC38" s="1140"/>
      <c r="AD38" s="1140"/>
      <c r="AE38" s="1143"/>
      <c r="AF38" s="1143"/>
      <c r="AG38" s="1140"/>
      <c r="AH38" s="1126"/>
      <c r="AI38" s="244"/>
      <c r="AJ38" s="244"/>
      <c r="AK38" s="244"/>
      <c r="AL38" s="244"/>
      <c r="AM38" s="244"/>
      <c r="AN38" s="244"/>
      <c r="AO38" s="244"/>
      <c r="AP38" s="244"/>
      <c r="AQ38" s="242"/>
      <c r="AR38" s="242"/>
      <c r="AS38" s="789"/>
    </row>
    <row r="39" spans="1:45" s="1" customFormat="1" ht="156.75" customHeight="1" thickBot="1">
      <c r="A39" s="758"/>
      <c r="B39" s="758"/>
      <c r="C39" s="758"/>
      <c r="D39" s="758"/>
      <c r="E39" s="758"/>
      <c r="F39" s="758"/>
      <c r="G39" s="759"/>
      <c r="H39" s="168"/>
      <c r="I39" s="169"/>
      <c r="J39" s="169"/>
      <c r="K39" s="750"/>
      <c r="L39" s="758"/>
      <c r="M39" s="170" t="s">
        <v>1092</v>
      </c>
      <c r="N39" s="58">
        <v>100</v>
      </c>
      <c r="O39" s="272" t="s">
        <v>98</v>
      </c>
      <c r="P39" s="58">
        <v>25</v>
      </c>
      <c r="Q39" s="58">
        <v>25</v>
      </c>
      <c r="R39" s="58">
        <v>25</v>
      </c>
      <c r="S39" s="58">
        <v>25</v>
      </c>
      <c r="T39" s="194"/>
      <c r="U39" s="58"/>
      <c r="V39" s="1138"/>
      <c r="W39" s="1138"/>
      <c r="X39" s="1138"/>
      <c r="Y39" s="243"/>
      <c r="Z39" s="243"/>
      <c r="AA39" s="243"/>
      <c r="AB39" s="243"/>
      <c r="AC39" s="1140"/>
      <c r="AD39" s="1140"/>
      <c r="AE39" s="1143"/>
      <c r="AF39" s="1143"/>
      <c r="AG39" s="1140"/>
      <c r="AH39" s="1126"/>
      <c r="AI39" s="244"/>
      <c r="AJ39" s="244"/>
      <c r="AK39" s="244"/>
      <c r="AL39" s="244"/>
      <c r="AM39" s="244"/>
      <c r="AN39" s="244"/>
      <c r="AO39" s="244"/>
      <c r="AP39" s="244"/>
      <c r="AQ39" s="242"/>
      <c r="AR39" s="242"/>
      <c r="AS39" s="789"/>
    </row>
    <row r="40" spans="1:45" s="1" customFormat="1" ht="156.75" customHeight="1" thickBot="1">
      <c r="A40" s="758"/>
      <c r="B40" s="758"/>
      <c r="C40" s="758"/>
      <c r="D40" s="758"/>
      <c r="E40" s="758"/>
      <c r="F40" s="758"/>
      <c r="G40" s="760" t="s">
        <v>1093</v>
      </c>
      <c r="H40" s="168" t="s">
        <v>93</v>
      </c>
      <c r="I40" s="169">
        <v>90</v>
      </c>
      <c r="J40" s="169">
        <v>88</v>
      </c>
      <c r="K40" s="750"/>
      <c r="L40" s="758"/>
      <c r="M40" s="170" t="s">
        <v>1094</v>
      </c>
      <c r="N40" s="170">
        <v>100</v>
      </c>
      <c r="O40" s="273" t="s">
        <v>1065</v>
      </c>
      <c r="P40" s="170">
        <v>25</v>
      </c>
      <c r="Q40" s="170">
        <v>25</v>
      </c>
      <c r="R40" s="170">
        <v>25</v>
      </c>
      <c r="S40" s="58">
        <v>25</v>
      </c>
      <c r="T40" s="194" t="s">
        <v>1067</v>
      </c>
      <c r="U40" s="170"/>
      <c r="V40" s="1138"/>
      <c r="W40" s="1138"/>
      <c r="X40" s="1138"/>
      <c r="Y40" s="243"/>
      <c r="Z40" s="243"/>
      <c r="AA40" s="243"/>
      <c r="AB40" s="243"/>
      <c r="AC40" s="1140"/>
      <c r="AD40" s="1140"/>
      <c r="AE40" s="1143"/>
      <c r="AF40" s="1143"/>
      <c r="AG40" s="1140"/>
      <c r="AH40" s="1126"/>
      <c r="AI40" s="244"/>
      <c r="AJ40" s="244"/>
      <c r="AK40" s="244"/>
      <c r="AL40" s="244"/>
      <c r="AM40" s="244"/>
      <c r="AN40" s="244"/>
      <c r="AO40" s="244"/>
      <c r="AP40" s="244"/>
      <c r="AQ40" s="242" t="s">
        <v>244</v>
      </c>
      <c r="AR40" s="242" t="s">
        <v>244</v>
      </c>
      <c r="AS40" s="789"/>
    </row>
    <row r="41" spans="1:45" s="1" customFormat="1" ht="156.75" customHeight="1" thickBot="1">
      <c r="A41" s="758"/>
      <c r="B41" s="758"/>
      <c r="C41" s="758"/>
      <c r="D41" s="758"/>
      <c r="E41" s="758"/>
      <c r="F41" s="758"/>
      <c r="G41" s="758"/>
      <c r="H41" s="168"/>
      <c r="I41" s="169"/>
      <c r="J41" s="169"/>
      <c r="K41" s="750"/>
      <c r="L41" s="758"/>
      <c r="M41" s="170" t="s">
        <v>1095</v>
      </c>
      <c r="N41" s="259">
        <v>1</v>
      </c>
      <c r="O41" s="170" t="s">
        <v>300</v>
      </c>
      <c r="P41" s="170">
        <v>0</v>
      </c>
      <c r="Q41" s="170">
        <v>0</v>
      </c>
      <c r="R41" s="170">
        <v>1</v>
      </c>
      <c r="S41" s="58">
        <v>0</v>
      </c>
      <c r="T41" s="194"/>
      <c r="U41" s="170"/>
      <c r="V41" s="1138"/>
      <c r="W41" s="1138"/>
      <c r="X41" s="1138"/>
      <c r="Y41" s="243"/>
      <c r="Z41" s="243"/>
      <c r="AA41" s="243"/>
      <c r="AB41" s="243"/>
      <c r="AC41" s="1140"/>
      <c r="AD41" s="1140"/>
      <c r="AE41" s="1143"/>
      <c r="AF41" s="1143"/>
      <c r="AG41" s="1140"/>
      <c r="AH41" s="1126"/>
      <c r="AI41" s="244"/>
      <c r="AJ41" s="244"/>
      <c r="AK41" s="244"/>
      <c r="AL41" s="244"/>
      <c r="AM41" s="244"/>
      <c r="AN41" s="244"/>
      <c r="AO41" s="244"/>
      <c r="AP41" s="244"/>
      <c r="AQ41" s="242"/>
      <c r="AR41" s="242"/>
      <c r="AS41" s="789"/>
    </row>
    <row r="42" spans="1:45" s="1" customFormat="1" ht="156.75" customHeight="1" thickBot="1">
      <c r="A42" s="758"/>
      <c r="B42" s="758"/>
      <c r="C42" s="758"/>
      <c r="D42" s="758"/>
      <c r="E42" s="758"/>
      <c r="F42" s="758"/>
      <c r="G42" s="759"/>
      <c r="H42" s="168"/>
      <c r="I42" s="169"/>
      <c r="J42" s="169"/>
      <c r="K42" s="750"/>
      <c r="L42" s="758"/>
      <c r="M42" s="170" t="s">
        <v>1096</v>
      </c>
      <c r="N42" s="170">
        <v>100</v>
      </c>
      <c r="O42" s="273" t="s">
        <v>1065</v>
      </c>
      <c r="P42" s="170">
        <v>25</v>
      </c>
      <c r="Q42" s="170">
        <v>25</v>
      </c>
      <c r="R42" s="170">
        <v>25</v>
      </c>
      <c r="S42" s="58">
        <v>25</v>
      </c>
      <c r="T42" s="194"/>
      <c r="U42" s="170"/>
      <c r="V42" s="1138"/>
      <c r="W42" s="1138"/>
      <c r="X42" s="1138"/>
      <c r="Y42" s="243"/>
      <c r="Z42" s="243"/>
      <c r="AA42" s="243"/>
      <c r="AB42" s="243"/>
      <c r="AC42" s="1140"/>
      <c r="AD42" s="1140"/>
      <c r="AE42" s="1143"/>
      <c r="AF42" s="1143"/>
      <c r="AG42" s="1140"/>
      <c r="AH42" s="1126"/>
      <c r="AI42" s="244"/>
      <c r="AJ42" s="244"/>
      <c r="AK42" s="244"/>
      <c r="AL42" s="244"/>
      <c r="AM42" s="244"/>
      <c r="AN42" s="244"/>
      <c r="AO42" s="244"/>
      <c r="AP42" s="244"/>
      <c r="AQ42" s="242"/>
      <c r="AR42" s="242"/>
      <c r="AS42" s="789"/>
    </row>
    <row r="43" spans="1:45" s="1" customFormat="1" ht="156.75" customHeight="1" thickBot="1">
      <c r="A43" s="758"/>
      <c r="B43" s="758"/>
      <c r="C43" s="758"/>
      <c r="D43" s="758"/>
      <c r="E43" s="758"/>
      <c r="F43" s="758"/>
      <c r="G43" s="760" t="s">
        <v>270</v>
      </c>
      <c r="H43" s="168" t="s">
        <v>93</v>
      </c>
      <c r="I43" s="169">
        <v>85.1</v>
      </c>
      <c r="J43" s="169">
        <v>85</v>
      </c>
      <c r="K43" s="750"/>
      <c r="L43" s="758"/>
      <c r="M43" s="170" t="s">
        <v>1094</v>
      </c>
      <c r="N43" s="170">
        <v>100</v>
      </c>
      <c r="O43" s="273" t="s">
        <v>98</v>
      </c>
      <c r="P43" s="170">
        <v>25</v>
      </c>
      <c r="Q43" s="170">
        <v>25</v>
      </c>
      <c r="R43" s="170">
        <v>25</v>
      </c>
      <c r="S43" s="58">
        <v>25</v>
      </c>
      <c r="T43" s="194" t="s">
        <v>1067</v>
      </c>
      <c r="U43" s="170"/>
      <c r="V43" s="1138"/>
      <c r="W43" s="1138"/>
      <c r="X43" s="1138"/>
      <c r="Y43" s="243"/>
      <c r="Z43" s="243"/>
      <c r="AA43" s="243"/>
      <c r="AB43" s="243"/>
      <c r="AC43" s="1140"/>
      <c r="AD43" s="1140"/>
      <c r="AE43" s="1143"/>
      <c r="AF43" s="1143"/>
      <c r="AG43" s="1140"/>
      <c r="AH43" s="1126"/>
      <c r="AI43" s="244"/>
      <c r="AJ43" s="244"/>
      <c r="AK43" s="244"/>
      <c r="AL43" s="244"/>
      <c r="AM43" s="244"/>
      <c r="AN43" s="244"/>
      <c r="AO43" s="244"/>
      <c r="AP43" s="244"/>
      <c r="AQ43" s="242" t="s">
        <v>244</v>
      </c>
      <c r="AR43" s="242" t="s">
        <v>244</v>
      </c>
      <c r="AS43" s="789"/>
    </row>
    <row r="44" spans="1:45" s="1" customFormat="1" ht="156.75" customHeight="1" thickBot="1">
      <c r="A44" s="758"/>
      <c r="B44" s="758"/>
      <c r="C44" s="758"/>
      <c r="D44" s="758"/>
      <c r="E44" s="758"/>
      <c r="F44" s="758"/>
      <c r="G44" s="758"/>
      <c r="H44" s="168"/>
      <c r="I44" s="169"/>
      <c r="J44" s="169"/>
      <c r="K44" s="750"/>
      <c r="L44" s="758"/>
      <c r="M44" s="170" t="s">
        <v>1095</v>
      </c>
      <c r="N44" s="259">
        <v>1</v>
      </c>
      <c r="O44" s="170" t="s">
        <v>300</v>
      </c>
      <c r="P44" s="170">
        <v>0</v>
      </c>
      <c r="Q44" s="170">
        <v>0</v>
      </c>
      <c r="R44" s="170">
        <v>1</v>
      </c>
      <c r="S44" s="58">
        <v>0</v>
      </c>
      <c r="T44" s="194"/>
      <c r="U44" s="170"/>
      <c r="V44" s="1138"/>
      <c r="W44" s="1138"/>
      <c r="X44" s="1138"/>
      <c r="Y44" s="243"/>
      <c r="Z44" s="243"/>
      <c r="AA44" s="243"/>
      <c r="AB44" s="243"/>
      <c r="AC44" s="1140"/>
      <c r="AD44" s="1140"/>
      <c r="AE44" s="1143"/>
      <c r="AF44" s="1143"/>
      <c r="AG44" s="1140"/>
      <c r="AH44" s="1126"/>
      <c r="AI44" s="244"/>
      <c r="AJ44" s="244"/>
      <c r="AK44" s="244"/>
      <c r="AL44" s="244"/>
      <c r="AM44" s="244"/>
      <c r="AN44" s="244"/>
      <c r="AO44" s="244"/>
      <c r="AP44" s="244"/>
      <c r="AQ44" s="242"/>
      <c r="AR44" s="242"/>
      <c r="AS44" s="789"/>
    </row>
    <row r="45" spans="1:45" s="1" customFormat="1" ht="156.75" customHeight="1" thickBot="1">
      <c r="A45" s="758"/>
      <c r="B45" s="758"/>
      <c r="C45" s="758"/>
      <c r="D45" s="758"/>
      <c r="E45" s="758"/>
      <c r="F45" s="758"/>
      <c r="G45" s="759"/>
      <c r="H45" s="168"/>
      <c r="I45" s="169"/>
      <c r="J45" s="169"/>
      <c r="K45" s="750"/>
      <c r="L45" s="758"/>
      <c r="M45" s="170" t="s">
        <v>1096</v>
      </c>
      <c r="N45" s="170">
        <v>100</v>
      </c>
      <c r="O45" s="273" t="s">
        <v>98</v>
      </c>
      <c r="P45" s="170">
        <v>25</v>
      </c>
      <c r="Q45" s="170">
        <v>25</v>
      </c>
      <c r="R45" s="170">
        <v>25</v>
      </c>
      <c r="S45" s="58">
        <v>25</v>
      </c>
      <c r="T45" s="194"/>
      <c r="U45" s="170"/>
      <c r="V45" s="1138"/>
      <c r="W45" s="1138"/>
      <c r="X45" s="1138"/>
      <c r="Y45" s="243"/>
      <c r="Z45" s="243"/>
      <c r="AA45" s="243"/>
      <c r="AB45" s="243"/>
      <c r="AC45" s="1140"/>
      <c r="AD45" s="1140"/>
      <c r="AE45" s="1143"/>
      <c r="AF45" s="1143"/>
      <c r="AG45" s="1140"/>
      <c r="AH45" s="1126"/>
      <c r="AI45" s="244"/>
      <c r="AJ45" s="244"/>
      <c r="AK45" s="244"/>
      <c r="AL45" s="244"/>
      <c r="AM45" s="244"/>
      <c r="AN45" s="244"/>
      <c r="AO45" s="244"/>
      <c r="AP45" s="244"/>
      <c r="AQ45" s="242"/>
      <c r="AR45" s="242"/>
      <c r="AS45" s="789"/>
    </row>
    <row r="46" spans="1:45" s="1" customFormat="1" ht="156.75" customHeight="1" thickBot="1">
      <c r="A46" s="758"/>
      <c r="B46" s="758"/>
      <c r="C46" s="758"/>
      <c r="D46" s="758"/>
      <c r="E46" s="758"/>
      <c r="F46" s="758"/>
      <c r="G46" s="760" t="s">
        <v>272</v>
      </c>
      <c r="H46" s="168" t="s">
        <v>93</v>
      </c>
      <c r="I46" s="169">
        <v>95</v>
      </c>
      <c r="J46" s="169">
        <v>90</v>
      </c>
      <c r="K46" s="750"/>
      <c r="L46" s="758"/>
      <c r="M46" s="170" t="s">
        <v>1097</v>
      </c>
      <c r="N46" s="58">
        <v>100</v>
      </c>
      <c r="O46" s="272" t="s">
        <v>98</v>
      </c>
      <c r="P46" s="58">
        <v>25</v>
      </c>
      <c r="Q46" s="58">
        <v>25</v>
      </c>
      <c r="R46" s="58">
        <v>25</v>
      </c>
      <c r="S46" s="58">
        <v>25</v>
      </c>
      <c r="T46" s="194" t="s">
        <v>1067</v>
      </c>
      <c r="U46" s="58"/>
      <c r="V46" s="1138"/>
      <c r="W46" s="1138"/>
      <c r="X46" s="1138"/>
      <c r="Y46" s="243"/>
      <c r="Z46" s="243"/>
      <c r="AA46" s="243"/>
      <c r="AB46" s="243"/>
      <c r="AC46" s="1140"/>
      <c r="AD46" s="1140"/>
      <c r="AE46" s="1143"/>
      <c r="AF46" s="1143"/>
      <c r="AG46" s="1140"/>
      <c r="AH46" s="1126"/>
      <c r="AI46" s="244"/>
      <c r="AJ46" s="244"/>
      <c r="AK46" s="244"/>
      <c r="AL46" s="244"/>
      <c r="AM46" s="244"/>
      <c r="AN46" s="244"/>
      <c r="AO46" s="244"/>
      <c r="AP46" s="244"/>
      <c r="AQ46" s="242" t="s">
        <v>244</v>
      </c>
      <c r="AR46" s="242" t="s">
        <v>244</v>
      </c>
      <c r="AS46" s="789"/>
    </row>
    <row r="47" spans="1:45" s="1" customFormat="1" ht="156.75" customHeight="1" thickBot="1">
      <c r="A47" s="758"/>
      <c r="B47" s="758"/>
      <c r="C47" s="758"/>
      <c r="D47" s="758"/>
      <c r="E47" s="758"/>
      <c r="F47" s="758"/>
      <c r="G47" s="758"/>
      <c r="H47" s="168"/>
      <c r="I47" s="169"/>
      <c r="J47" s="169"/>
      <c r="K47" s="750"/>
      <c r="L47" s="758"/>
      <c r="M47" s="170" t="s">
        <v>1098</v>
      </c>
      <c r="N47" s="198">
        <v>2</v>
      </c>
      <c r="O47" s="58" t="s">
        <v>300</v>
      </c>
      <c r="P47" s="58">
        <v>0</v>
      </c>
      <c r="Q47" s="58">
        <v>0</v>
      </c>
      <c r="R47" s="58">
        <v>2</v>
      </c>
      <c r="S47" s="58">
        <v>0</v>
      </c>
      <c r="T47" s="194"/>
      <c r="U47" s="58"/>
      <c r="V47" s="1138"/>
      <c r="W47" s="1138"/>
      <c r="X47" s="1138"/>
      <c r="Y47" s="243"/>
      <c r="Z47" s="243"/>
      <c r="AA47" s="243"/>
      <c r="AB47" s="243"/>
      <c r="AC47" s="1140"/>
      <c r="AD47" s="1140"/>
      <c r="AE47" s="1143"/>
      <c r="AF47" s="1143"/>
      <c r="AG47" s="1140"/>
      <c r="AH47" s="1126"/>
      <c r="AI47" s="244"/>
      <c r="AJ47" s="244"/>
      <c r="AK47" s="244"/>
      <c r="AL47" s="244"/>
      <c r="AM47" s="244"/>
      <c r="AN47" s="244"/>
      <c r="AO47" s="244"/>
      <c r="AP47" s="244"/>
      <c r="AQ47" s="242"/>
      <c r="AR47" s="242"/>
      <c r="AS47" s="789"/>
    </row>
    <row r="48" spans="1:45" s="1" customFormat="1" ht="156.75" customHeight="1" thickBot="1">
      <c r="A48" s="758"/>
      <c r="B48" s="758"/>
      <c r="C48" s="758"/>
      <c r="D48" s="758"/>
      <c r="E48" s="758"/>
      <c r="F48" s="758"/>
      <c r="G48" s="759"/>
      <c r="H48" s="168"/>
      <c r="I48" s="169"/>
      <c r="J48" s="169"/>
      <c r="K48" s="750"/>
      <c r="L48" s="758"/>
      <c r="M48" s="170" t="s">
        <v>1099</v>
      </c>
      <c r="N48" s="58">
        <v>100</v>
      </c>
      <c r="O48" s="272" t="s">
        <v>98</v>
      </c>
      <c r="P48" s="58">
        <v>25</v>
      </c>
      <c r="Q48" s="58">
        <v>25</v>
      </c>
      <c r="R48" s="58">
        <v>25</v>
      </c>
      <c r="S48" s="58">
        <v>25</v>
      </c>
      <c r="T48" s="194"/>
      <c r="U48" s="58"/>
      <c r="V48" s="1138"/>
      <c r="W48" s="1138"/>
      <c r="X48" s="1138"/>
      <c r="Y48" s="243"/>
      <c r="Z48" s="243"/>
      <c r="AA48" s="243"/>
      <c r="AB48" s="243"/>
      <c r="AC48" s="1140"/>
      <c r="AD48" s="1140"/>
      <c r="AE48" s="1143"/>
      <c r="AF48" s="1143"/>
      <c r="AG48" s="1140"/>
      <c r="AH48" s="1126"/>
      <c r="AI48" s="244"/>
      <c r="AJ48" s="244"/>
      <c r="AK48" s="244"/>
      <c r="AL48" s="244"/>
      <c r="AM48" s="244"/>
      <c r="AN48" s="244"/>
      <c r="AO48" s="244"/>
      <c r="AP48" s="244"/>
      <c r="AQ48" s="242"/>
      <c r="AR48" s="242"/>
      <c r="AS48" s="789"/>
    </row>
    <row r="49" spans="1:45" s="1" customFormat="1" ht="94.5" customHeight="1" thickBot="1">
      <c r="A49" s="758"/>
      <c r="B49" s="758"/>
      <c r="C49" s="760" t="s">
        <v>276</v>
      </c>
      <c r="D49" s="760" t="s">
        <v>68</v>
      </c>
      <c r="E49" s="760">
        <v>40</v>
      </c>
      <c r="F49" s="758"/>
      <c r="G49" s="760" t="s">
        <v>277</v>
      </c>
      <c r="H49" s="168" t="s">
        <v>93</v>
      </c>
      <c r="I49" s="169">
        <v>100</v>
      </c>
      <c r="J49" s="169">
        <v>100</v>
      </c>
      <c r="K49" s="750"/>
      <c r="L49" s="758"/>
      <c r="M49" s="170" t="s">
        <v>1100</v>
      </c>
      <c r="N49" s="58">
        <v>100</v>
      </c>
      <c r="O49" s="272" t="s">
        <v>98</v>
      </c>
      <c r="P49" s="58">
        <v>25</v>
      </c>
      <c r="Q49" s="58">
        <v>25</v>
      </c>
      <c r="R49" s="58">
        <v>25</v>
      </c>
      <c r="S49" s="58">
        <v>25</v>
      </c>
      <c r="T49" s="194" t="s">
        <v>1067</v>
      </c>
      <c r="U49" s="58"/>
      <c r="V49" s="1138"/>
      <c r="W49" s="1138"/>
      <c r="X49" s="1138"/>
      <c r="Y49" s="243"/>
      <c r="Z49" s="243"/>
      <c r="AA49" s="243"/>
      <c r="AB49" s="243"/>
      <c r="AC49" s="1140"/>
      <c r="AD49" s="1140"/>
      <c r="AE49" s="1143"/>
      <c r="AF49" s="1143"/>
      <c r="AG49" s="1140"/>
      <c r="AH49" s="1126"/>
      <c r="AI49" s="244"/>
      <c r="AJ49" s="244"/>
      <c r="AK49" s="244"/>
      <c r="AL49" s="244"/>
      <c r="AM49" s="244"/>
      <c r="AN49" s="244"/>
      <c r="AO49" s="244"/>
      <c r="AP49" s="244"/>
      <c r="AQ49" s="242" t="s">
        <v>244</v>
      </c>
      <c r="AR49" s="242" t="s">
        <v>244</v>
      </c>
      <c r="AS49" s="789"/>
    </row>
    <row r="50" spans="1:45" s="1" customFormat="1" ht="94.5" customHeight="1" thickBot="1">
      <c r="A50" s="758"/>
      <c r="B50" s="758"/>
      <c r="C50" s="758"/>
      <c r="D50" s="758"/>
      <c r="E50" s="758"/>
      <c r="F50" s="758"/>
      <c r="G50" s="759"/>
      <c r="H50" s="168"/>
      <c r="I50" s="169"/>
      <c r="J50" s="169"/>
      <c r="K50" s="750"/>
      <c r="L50" s="758"/>
      <c r="M50" s="170" t="s">
        <v>1101</v>
      </c>
      <c r="N50" s="58">
        <v>100</v>
      </c>
      <c r="O50" s="272" t="s">
        <v>98</v>
      </c>
      <c r="P50" s="58">
        <v>25</v>
      </c>
      <c r="Q50" s="58">
        <v>25</v>
      </c>
      <c r="R50" s="58">
        <v>25</v>
      </c>
      <c r="S50" s="58">
        <v>25</v>
      </c>
      <c r="T50" s="194"/>
      <c r="U50" s="58"/>
      <c r="V50" s="1138"/>
      <c r="W50" s="1138"/>
      <c r="X50" s="1138"/>
      <c r="Y50" s="243"/>
      <c r="Z50" s="243"/>
      <c r="AA50" s="243"/>
      <c r="AB50" s="243"/>
      <c r="AC50" s="1140"/>
      <c r="AD50" s="1140"/>
      <c r="AE50" s="1143"/>
      <c r="AF50" s="1143"/>
      <c r="AG50" s="1140"/>
      <c r="AH50" s="1126"/>
      <c r="AI50" s="244"/>
      <c r="AJ50" s="244"/>
      <c r="AK50" s="244"/>
      <c r="AL50" s="244"/>
      <c r="AM50" s="244"/>
      <c r="AN50" s="244"/>
      <c r="AO50" s="244"/>
      <c r="AP50" s="244"/>
      <c r="AQ50" s="242"/>
      <c r="AR50" s="242"/>
      <c r="AS50" s="789"/>
    </row>
    <row r="51" spans="1:45" s="1" customFormat="1" ht="114" customHeight="1" thickBot="1">
      <c r="A51" s="758"/>
      <c r="B51" s="758"/>
      <c r="C51" s="759"/>
      <c r="D51" s="759"/>
      <c r="E51" s="759"/>
      <c r="F51" s="759"/>
      <c r="G51" s="168" t="s">
        <v>279</v>
      </c>
      <c r="H51" s="168" t="s">
        <v>93</v>
      </c>
      <c r="I51" s="169">
        <v>1.4</v>
      </c>
      <c r="J51" s="169">
        <v>1.4</v>
      </c>
      <c r="K51" s="757"/>
      <c r="L51" s="759"/>
      <c r="M51" s="170" t="s">
        <v>1102</v>
      </c>
      <c r="N51" s="58">
        <v>100</v>
      </c>
      <c r="O51" s="272" t="s">
        <v>98</v>
      </c>
      <c r="P51" s="58">
        <v>25</v>
      </c>
      <c r="Q51" s="58">
        <v>25</v>
      </c>
      <c r="R51" s="58">
        <v>25</v>
      </c>
      <c r="S51" s="58">
        <v>25</v>
      </c>
      <c r="T51" s="194" t="s">
        <v>1067</v>
      </c>
      <c r="U51" s="58"/>
      <c r="V51" s="1138"/>
      <c r="W51" s="1138"/>
      <c r="X51" s="1138"/>
      <c r="Y51" s="243"/>
      <c r="Z51" s="243"/>
      <c r="AA51" s="243"/>
      <c r="AB51" s="243"/>
      <c r="AC51" s="1141"/>
      <c r="AD51" s="1141"/>
      <c r="AE51" s="1144"/>
      <c r="AF51" s="1144"/>
      <c r="AG51" s="1141"/>
      <c r="AH51" s="1127"/>
      <c r="AI51" s="244"/>
      <c r="AJ51" s="244"/>
      <c r="AK51" s="244"/>
      <c r="AL51" s="244"/>
      <c r="AM51" s="244"/>
      <c r="AN51" s="244"/>
      <c r="AO51" s="244"/>
      <c r="AP51" s="244"/>
      <c r="AQ51" s="242" t="s">
        <v>244</v>
      </c>
      <c r="AR51" s="242" t="s">
        <v>244</v>
      </c>
      <c r="AS51" s="789"/>
    </row>
    <row r="52" spans="1:45" s="1" customFormat="1" ht="94.5" customHeight="1" thickBot="1">
      <c r="A52" s="758"/>
      <c r="B52" s="758"/>
      <c r="C52" s="760" t="s">
        <v>281</v>
      </c>
      <c r="D52" s="760" t="s">
        <v>68</v>
      </c>
      <c r="E52" s="760">
        <v>90</v>
      </c>
      <c r="F52" s="760" t="s">
        <v>282</v>
      </c>
      <c r="G52" s="760" t="s">
        <v>283</v>
      </c>
      <c r="H52" s="168" t="s">
        <v>72</v>
      </c>
      <c r="I52" s="60" t="s">
        <v>69</v>
      </c>
      <c r="J52" s="60">
        <v>5196</v>
      </c>
      <c r="K52" s="60"/>
      <c r="L52" s="175" t="s">
        <v>284</v>
      </c>
      <c r="M52" s="170" t="s">
        <v>1103</v>
      </c>
      <c r="N52" s="259">
        <v>4706</v>
      </c>
      <c r="O52" s="170" t="s">
        <v>1104</v>
      </c>
      <c r="P52" s="170">
        <v>794</v>
      </c>
      <c r="Q52" s="170">
        <v>1380</v>
      </c>
      <c r="R52" s="170">
        <v>1447</v>
      </c>
      <c r="S52" s="58">
        <v>1085</v>
      </c>
      <c r="T52" s="170" t="s">
        <v>1105</v>
      </c>
      <c r="U52" s="58"/>
      <c r="V52" s="910">
        <v>202945909</v>
      </c>
      <c r="W52" s="910">
        <v>422595367</v>
      </c>
      <c r="X52" s="910">
        <f>+V52+W52</f>
        <v>625541276</v>
      </c>
      <c r="Y52" s="240"/>
      <c r="Z52" s="240"/>
      <c r="AA52" s="240"/>
      <c r="AB52" s="240"/>
      <c r="AC52" s="240">
        <v>39234476</v>
      </c>
      <c r="AD52" s="240">
        <v>13468314</v>
      </c>
      <c r="AE52" s="240"/>
      <c r="AF52" s="241"/>
      <c r="AG52" s="241">
        <f t="shared" si="0"/>
        <v>52702790</v>
      </c>
      <c r="AH52" s="1135">
        <f>+(AG52+AG53+AG54+AG55)/X52</f>
        <v>0.33700600118352542</v>
      </c>
      <c r="AI52" s="241"/>
      <c r="AJ52" s="241"/>
      <c r="AK52" s="241"/>
      <c r="AL52" s="241"/>
      <c r="AM52" s="241"/>
      <c r="AN52" s="241"/>
      <c r="AO52" s="241"/>
      <c r="AP52" s="241"/>
      <c r="AQ52" s="242" t="s">
        <v>244</v>
      </c>
      <c r="AR52" s="242" t="s">
        <v>244</v>
      </c>
      <c r="AS52" s="789"/>
    </row>
    <row r="53" spans="1:45" s="1" customFormat="1" ht="94.5" customHeight="1" thickBot="1">
      <c r="A53" s="758"/>
      <c r="B53" s="758"/>
      <c r="C53" s="758"/>
      <c r="D53" s="758"/>
      <c r="E53" s="758"/>
      <c r="F53" s="758"/>
      <c r="G53" s="758"/>
      <c r="H53" s="168"/>
      <c r="I53" s="60"/>
      <c r="J53" s="60"/>
      <c r="K53" s="60"/>
      <c r="L53" s="175"/>
      <c r="M53" s="170" t="s">
        <v>1106</v>
      </c>
      <c r="N53" s="259">
        <v>490</v>
      </c>
      <c r="O53" s="170" t="s">
        <v>1104</v>
      </c>
      <c r="P53" s="170">
        <v>64</v>
      </c>
      <c r="Q53" s="170">
        <v>138</v>
      </c>
      <c r="R53" s="170">
        <v>156</v>
      </c>
      <c r="S53" s="58">
        <v>132</v>
      </c>
      <c r="T53" s="170" t="s">
        <v>1105</v>
      </c>
      <c r="U53" s="58"/>
      <c r="V53" s="911"/>
      <c r="W53" s="911"/>
      <c r="X53" s="911"/>
      <c r="Y53" s="240"/>
      <c r="Z53" s="240"/>
      <c r="AA53" s="240"/>
      <c r="AB53" s="240"/>
      <c r="AC53" s="240">
        <v>39234476</v>
      </c>
      <c r="AD53" s="240">
        <v>13468314</v>
      </c>
      <c r="AE53" s="240"/>
      <c r="AF53" s="241"/>
      <c r="AG53" s="241">
        <f t="shared" si="0"/>
        <v>52702790</v>
      </c>
      <c r="AH53" s="1136"/>
      <c r="AI53" s="241"/>
      <c r="AJ53" s="241"/>
      <c r="AK53" s="241"/>
      <c r="AL53" s="241"/>
      <c r="AM53" s="241"/>
      <c r="AN53" s="241"/>
      <c r="AO53" s="241"/>
      <c r="AP53" s="241"/>
      <c r="AQ53" s="242"/>
      <c r="AR53" s="242"/>
      <c r="AS53" s="789"/>
    </row>
    <row r="54" spans="1:45" s="1" customFormat="1" ht="94.5" customHeight="1" thickBot="1">
      <c r="A54" s="758"/>
      <c r="B54" s="758"/>
      <c r="C54" s="758"/>
      <c r="D54" s="758"/>
      <c r="E54" s="758"/>
      <c r="F54" s="758"/>
      <c r="G54" s="758"/>
      <c r="H54" s="168"/>
      <c r="I54" s="60"/>
      <c r="J54" s="60"/>
      <c r="K54" s="60"/>
      <c r="L54" s="175"/>
      <c r="M54" s="170" t="s">
        <v>1107</v>
      </c>
      <c r="N54" s="259">
        <v>5484</v>
      </c>
      <c r="O54" s="170" t="s">
        <v>1108</v>
      </c>
      <c r="P54" s="170">
        <v>920</v>
      </c>
      <c r="Q54" s="170">
        <v>1608</v>
      </c>
      <c r="R54" s="170">
        <v>1688</v>
      </c>
      <c r="S54" s="58">
        <v>1268</v>
      </c>
      <c r="T54" s="170" t="s">
        <v>1105</v>
      </c>
      <c r="U54" s="58"/>
      <c r="V54" s="911"/>
      <c r="W54" s="911"/>
      <c r="X54" s="911"/>
      <c r="Y54" s="240"/>
      <c r="Z54" s="240"/>
      <c r="AA54" s="240"/>
      <c r="AB54" s="240"/>
      <c r="AC54" s="240">
        <v>39234477</v>
      </c>
      <c r="AD54" s="240">
        <v>13468315</v>
      </c>
      <c r="AE54" s="240"/>
      <c r="AF54" s="241"/>
      <c r="AG54" s="241">
        <f t="shared" si="0"/>
        <v>52702792</v>
      </c>
      <c r="AH54" s="1136"/>
      <c r="AI54" s="241"/>
      <c r="AJ54" s="241"/>
      <c r="AK54" s="241"/>
      <c r="AL54" s="241"/>
      <c r="AM54" s="241"/>
      <c r="AN54" s="241"/>
      <c r="AO54" s="241"/>
      <c r="AP54" s="241"/>
      <c r="AQ54" s="242"/>
      <c r="AR54" s="242"/>
      <c r="AS54" s="789"/>
    </row>
    <row r="55" spans="1:45" s="1" customFormat="1" ht="94.5" customHeight="1" thickBot="1">
      <c r="A55" s="758"/>
      <c r="B55" s="758"/>
      <c r="C55" s="758"/>
      <c r="D55" s="758"/>
      <c r="E55" s="758"/>
      <c r="F55" s="758"/>
      <c r="G55" s="759"/>
      <c r="H55" s="168"/>
      <c r="I55" s="60"/>
      <c r="J55" s="60"/>
      <c r="K55" s="60"/>
      <c r="L55" s="175"/>
      <c r="M55" s="170" t="s">
        <v>1109</v>
      </c>
      <c r="N55" s="259">
        <v>588</v>
      </c>
      <c r="O55" s="170" t="s">
        <v>1110</v>
      </c>
      <c r="P55" s="170">
        <v>80</v>
      </c>
      <c r="Q55" s="170">
        <v>164</v>
      </c>
      <c r="R55" s="170">
        <v>186</v>
      </c>
      <c r="S55" s="58">
        <v>158</v>
      </c>
      <c r="T55" s="170" t="s">
        <v>1105</v>
      </c>
      <c r="U55" s="58"/>
      <c r="V55" s="912"/>
      <c r="W55" s="912"/>
      <c r="X55" s="912"/>
      <c r="Y55" s="240"/>
      <c r="Z55" s="240"/>
      <c r="AA55" s="240"/>
      <c r="AB55" s="240"/>
      <c r="AC55" s="240">
        <v>39234477</v>
      </c>
      <c r="AD55" s="240">
        <v>13468315</v>
      </c>
      <c r="AE55" s="240"/>
      <c r="AF55" s="241"/>
      <c r="AG55" s="241">
        <f t="shared" si="0"/>
        <v>52702792</v>
      </c>
      <c r="AH55" s="1137"/>
      <c r="AI55" s="241"/>
      <c r="AJ55" s="241"/>
      <c r="AK55" s="241"/>
      <c r="AL55" s="241"/>
      <c r="AM55" s="241"/>
      <c r="AN55" s="241"/>
      <c r="AO55" s="241"/>
      <c r="AP55" s="241"/>
      <c r="AQ55" s="242"/>
      <c r="AR55" s="242"/>
      <c r="AS55" s="789"/>
    </row>
    <row r="56" spans="1:45" s="1" customFormat="1" ht="94.5" customHeight="1" thickBot="1">
      <c r="A56" s="758"/>
      <c r="B56" s="758"/>
      <c r="C56" s="758"/>
      <c r="D56" s="758"/>
      <c r="E56" s="758"/>
      <c r="F56" s="758"/>
      <c r="G56" s="55"/>
      <c r="H56" s="168"/>
      <c r="I56" s="60"/>
      <c r="J56" s="60"/>
      <c r="K56" s="60"/>
      <c r="L56" s="175"/>
      <c r="M56" s="174" t="s">
        <v>1111</v>
      </c>
      <c r="N56" s="170">
        <v>100</v>
      </c>
      <c r="O56" s="274" t="s">
        <v>93</v>
      </c>
      <c r="P56" s="159">
        <v>0</v>
      </c>
      <c r="Q56" s="159">
        <v>100</v>
      </c>
      <c r="R56" s="159">
        <v>0</v>
      </c>
      <c r="S56" s="159">
        <v>0</v>
      </c>
      <c r="T56" s="194" t="s">
        <v>1112</v>
      </c>
      <c r="U56" s="159"/>
      <c r="V56" s="140">
        <v>2744830570</v>
      </c>
      <c r="W56" s="140">
        <v>0</v>
      </c>
      <c r="X56" s="140">
        <f t="shared" ref="X56:X57" si="2">+V56+W56</f>
        <v>2744830570</v>
      </c>
      <c r="Y56" s="240"/>
      <c r="Z56" s="240"/>
      <c r="AA56" s="240"/>
      <c r="AB56" s="240"/>
      <c r="AC56" s="240">
        <v>445550656</v>
      </c>
      <c r="AD56" s="240">
        <v>420991312</v>
      </c>
      <c r="AE56" s="240"/>
      <c r="AF56" s="241"/>
      <c r="AG56" s="241">
        <f t="shared" si="0"/>
        <v>866541968</v>
      </c>
      <c r="AH56" s="324">
        <f t="shared" si="1"/>
        <v>0.31569962003155627</v>
      </c>
      <c r="AI56" s="241"/>
      <c r="AJ56" s="241"/>
      <c r="AK56" s="241"/>
      <c r="AL56" s="241"/>
      <c r="AM56" s="241"/>
      <c r="AN56" s="241"/>
      <c r="AO56" s="241"/>
      <c r="AP56" s="241"/>
      <c r="AQ56" s="242" t="s">
        <v>244</v>
      </c>
      <c r="AR56" s="242" t="s">
        <v>244</v>
      </c>
      <c r="AS56" s="789"/>
    </row>
    <row r="57" spans="1:45" s="1" customFormat="1" ht="94.5" customHeight="1" thickBot="1">
      <c r="A57" s="758"/>
      <c r="B57" s="758"/>
      <c r="C57" s="758"/>
      <c r="D57" s="758"/>
      <c r="E57" s="758"/>
      <c r="F57" s="758"/>
      <c r="G57" s="55"/>
      <c r="H57" s="168"/>
      <c r="I57" s="60"/>
      <c r="J57" s="60"/>
      <c r="K57" s="60"/>
      <c r="L57" s="175"/>
      <c r="M57" s="174" t="s">
        <v>1113</v>
      </c>
      <c r="N57" s="231">
        <v>1</v>
      </c>
      <c r="O57" s="159" t="s">
        <v>142</v>
      </c>
      <c r="P57" s="159">
        <v>1</v>
      </c>
      <c r="Q57" s="159">
        <v>0</v>
      </c>
      <c r="R57" s="159">
        <v>0</v>
      </c>
      <c r="S57" s="159">
        <v>0</v>
      </c>
      <c r="T57" s="194" t="s">
        <v>975</v>
      </c>
      <c r="U57" s="159"/>
      <c r="V57" s="140">
        <v>100800000</v>
      </c>
      <c r="W57" s="140">
        <v>-100800000</v>
      </c>
      <c r="X57" s="140">
        <f t="shared" si="2"/>
        <v>0</v>
      </c>
      <c r="Y57" s="240"/>
      <c r="Z57" s="240"/>
      <c r="AA57" s="240"/>
      <c r="AB57" s="240"/>
      <c r="AC57" s="240">
        <v>0</v>
      </c>
      <c r="AD57" s="240"/>
      <c r="AE57" s="240"/>
      <c r="AF57" s="241"/>
      <c r="AG57" s="241">
        <f t="shared" si="0"/>
        <v>0</v>
      </c>
      <c r="AH57" s="324" t="e">
        <f t="shared" si="1"/>
        <v>#DIV/0!</v>
      </c>
      <c r="AI57" s="241"/>
      <c r="AJ57" s="241"/>
      <c r="AK57" s="241"/>
      <c r="AL57" s="241"/>
      <c r="AM57" s="241"/>
      <c r="AN57" s="241"/>
      <c r="AO57" s="241"/>
      <c r="AP57" s="241"/>
      <c r="AQ57" s="242" t="s">
        <v>244</v>
      </c>
      <c r="AR57" s="242" t="s">
        <v>244</v>
      </c>
      <c r="AS57" s="789"/>
    </row>
    <row r="58" spans="1:45" s="1" customFormat="1" ht="94.5" customHeight="1" thickBot="1">
      <c r="A58" s="758"/>
      <c r="B58" s="758"/>
      <c r="C58" s="758"/>
      <c r="D58" s="758"/>
      <c r="E58" s="758"/>
      <c r="F58" s="758"/>
      <c r="G58" s="55"/>
      <c r="H58" s="168"/>
      <c r="I58" s="60"/>
      <c r="J58" s="60"/>
      <c r="K58" s="60"/>
      <c r="L58" s="175"/>
      <c r="M58" s="174" t="s">
        <v>1114</v>
      </c>
      <c r="N58" s="231">
        <v>1</v>
      </c>
      <c r="O58" s="159" t="s">
        <v>142</v>
      </c>
      <c r="P58" s="159">
        <v>1</v>
      </c>
      <c r="Q58" s="159">
        <v>1</v>
      </c>
      <c r="R58" s="159">
        <v>1</v>
      </c>
      <c r="S58" s="159">
        <v>1</v>
      </c>
      <c r="T58" s="194" t="s">
        <v>1115</v>
      </c>
      <c r="U58" s="159"/>
      <c r="V58" s="140">
        <v>1535000000</v>
      </c>
      <c r="W58" s="140">
        <v>0</v>
      </c>
      <c r="X58" s="140">
        <f>+V58+W58</f>
        <v>1535000000</v>
      </c>
      <c r="Y58" s="240"/>
      <c r="Z58" s="240"/>
      <c r="AA58" s="240"/>
      <c r="AB58" s="240"/>
      <c r="AC58" s="240">
        <v>350435833</v>
      </c>
      <c r="AD58" s="240">
        <v>173840000</v>
      </c>
      <c r="AE58" s="240"/>
      <c r="AF58" s="241"/>
      <c r="AG58" s="241">
        <f t="shared" si="0"/>
        <v>524275833</v>
      </c>
      <c r="AH58" s="324">
        <f t="shared" si="1"/>
        <v>0.34154777394136809</v>
      </c>
      <c r="AI58" s="241"/>
      <c r="AJ58" s="241"/>
      <c r="AK58" s="241"/>
      <c r="AL58" s="241"/>
      <c r="AM58" s="241"/>
      <c r="AN58" s="241"/>
      <c r="AO58" s="241"/>
      <c r="AP58" s="241"/>
      <c r="AQ58" s="242"/>
      <c r="AR58" s="242"/>
      <c r="AS58" s="789"/>
    </row>
    <row r="59" spans="1:45" s="1" customFormat="1" ht="94.5" customHeight="1" thickBot="1">
      <c r="A59" s="758"/>
      <c r="B59" s="758"/>
      <c r="C59" s="758"/>
      <c r="D59" s="758"/>
      <c r="E59" s="758"/>
      <c r="F59" s="758"/>
      <c r="G59" s="55"/>
      <c r="H59" s="168"/>
      <c r="I59" s="60"/>
      <c r="J59" s="60"/>
      <c r="K59" s="60"/>
      <c r="L59" s="175"/>
      <c r="M59" s="174" t="s">
        <v>1116</v>
      </c>
      <c r="N59" s="231">
        <v>1</v>
      </c>
      <c r="O59" s="159" t="s">
        <v>142</v>
      </c>
      <c r="P59" s="159">
        <v>1</v>
      </c>
      <c r="Q59" s="159">
        <v>1</v>
      </c>
      <c r="R59" s="159">
        <v>1</v>
      </c>
      <c r="S59" s="159">
        <v>1</v>
      </c>
      <c r="T59" s="194" t="s">
        <v>1117</v>
      </c>
      <c r="U59" s="159"/>
      <c r="V59" s="140">
        <v>649425345</v>
      </c>
      <c r="W59" s="140">
        <v>0</v>
      </c>
      <c r="X59" s="140">
        <f>+V59+W59</f>
        <v>649425345</v>
      </c>
      <c r="Y59" s="240"/>
      <c r="Z59" s="240"/>
      <c r="AA59" s="240"/>
      <c r="AB59" s="240"/>
      <c r="AC59" s="240">
        <v>399594834</v>
      </c>
      <c r="AD59" s="240">
        <v>16400000</v>
      </c>
      <c r="AE59" s="240"/>
      <c r="AF59" s="241"/>
      <c r="AG59" s="241">
        <f t="shared" si="0"/>
        <v>415994834</v>
      </c>
      <c r="AH59" s="324">
        <f t="shared" si="1"/>
        <v>0.64055836009911193</v>
      </c>
      <c r="AI59" s="241"/>
      <c r="AJ59" s="241"/>
      <c r="AK59" s="241"/>
      <c r="AL59" s="241"/>
      <c r="AM59" s="241"/>
      <c r="AN59" s="241"/>
      <c r="AO59" s="241"/>
      <c r="AP59" s="241"/>
      <c r="AQ59" s="242"/>
      <c r="AR59" s="242"/>
      <c r="AS59" s="789"/>
    </row>
    <row r="60" spans="1:45" s="1" customFormat="1" ht="94.5" customHeight="1">
      <c r="A60" s="759"/>
      <c r="B60" s="759"/>
      <c r="C60" s="759"/>
      <c r="D60" s="759"/>
      <c r="E60" s="759"/>
      <c r="F60" s="759"/>
      <c r="G60" s="55"/>
      <c r="H60" s="168"/>
      <c r="I60" s="60"/>
      <c r="J60" s="60"/>
      <c r="K60" s="60"/>
      <c r="L60" s="168"/>
      <c r="M60" s="174" t="s">
        <v>1118</v>
      </c>
      <c r="N60" s="231">
        <v>1</v>
      </c>
      <c r="O60" s="159" t="s">
        <v>142</v>
      </c>
      <c r="P60" s="159">
        <v>0</v>
      </c>
      <c r="Q60" s="159">
        <v>1</v>
      </c>
      <c r="R60" s="159">
        <v>0</v>
      </c>
      <c r="S60" s="159">
        <v>0</v>
      </c>
      <c r="T60" s="194" t="s">
        <v>1119</v>
      </c>
      <c r="U60" s="159"/>
      <c r="V60" s="140">
        <v>8025774620</v>
      </c>
      <c r="W60" s="140">
        <v>1109774000</v>
      </c>
      <c r="X60" s="140">
        <f>+V60+W60</f>
        <v>9135548620</v>
      </c>
      <c r="Y60" s="240"/>
      <c r="Z60" s="240"/>
      <c r="AA60" s="240"/>
      <c r="AB60" s="240"/>
      <c r="AC60" s="240">
        <v>1661792515</v>
      </c>
      <c r="AD60" s="240">
        <v>1321567588</v>
      </c>
      <c r="AE60" s="240"/>
      <c r="AF60" s="241"/>
      <c r="AG60" s="241">
        <f t="shared" si="0"/>
        <v>2983360103</v>
      </c>
      <c r="AH60" s="324">
        <f t="shared" si="1"/>
        <v>0.32656605827357527</v>
      </c>
      <c r="AI60" s="241"/>
      <c r="AJ60" s="241"/>
      <c r="AK60" s="241"/>
      <c r="AL60" s="241"/>
      <c r="AM60" s="241"/>
      <c r="AN60" s="241"/>
      <c r="AO60" s="241"/>
      <c r="AP60" s="241"/>
      <c r="AQ60" s="242" t="s">
        <v>244</v>
      </c>
      <c r="AR60" s="242" t="s">
        <v>244</v>
      </c>
      <c r="AS60" s="789"/>
    </row>
    <row r="61" spans="1:45" s="1" customFormat="1" ht="35.25" customHeight="1" thickBot="1">
      <c r="A61" s="1159" t="s">
        <v>979</v>
      </c>
      <c r="B61" s="1160"/>
      <c r="C61" s="1160"/>
      <c r="D61" s="1160"/>
      <c r="E61" s="1160"/>
      <c r="F61" s="1160"/>
      <c r="G61" s="1160"/>
      <c r="H61" s="1160"/>
      <c r="I61" s="1160"/>
      <c r="J61" s="1160"/>
      <c r="K61" s="1160"/>
      <c r="L61" s="1160"/>
      <c r="M61" s="1161"/>
      <c r="N61" s="231">
        <f>N60+N57+N55+N54+N53+N52+N47+N44+N41+N34+N31+N28+N25+N19+N15+N13</f>
        <v>11282</v>
      </c>
      <c r="O61" s="231" t="s">
        <v>340</v>
      </c>
      <c r="P61" s="231">
        <f>P60+P57+P55+P54+P53+P52+P47+P44+P41+P34+P31+P28+P25+P19+P15+P13</f>
        <v>1863</v>
      </c>
      <c r="Q61" s="231">
        <f t="shared" ref="Q61:S61" si="3">Q60+Q57+Q55+Q54+Q53+Q52+Q47+Q44+Q41+Q34+Q31+Q28+Q25+Q19+Q15+Q13</f>
        <v>3292</v>
      </c>
      <c r="R61" s="231">
        <f t="shared" si="3"/>
        <v>3482</v>
      </c>
      <c r="S61" s="231">
        <f t="shared" si="3"/>
        <v>2645</v>
      </c>
      <c r="T61" s="231"/>
      <c r="U61" s="231"/>
      <c r="V61" s="1128">
        <f>SUM(V8:V60)</f>
        <v>47859140472</v>
      </c>
      <c r="W61" s="1128">
        <f>SUM(W8:W60)</f>
        <v>8852493873</v>
      </c>
      <c r="X61" s="1128">
        <f>SUM(X8:X60)</f>
        <v>56711634345</v>
      </c>
      <c r="Y61" s="231">
        <f>Y60+Y57+Y55+Y54+Y53+Y52+Y47+Y44+Y41+Y34+Y31+Y28+Y25+Y19+Y15+Y13</f>
        <v>0</v>
      </c>
      <c r="Z61" s="231">
        <f t="shared" ref="Z61:AB61" si="4">Z60+Z57+Z55+Z54+Z53+Z52+Z47+Z44+Z41+Z34+Z31+Z28+Z25+Z19+Z15+Z13</f>
        <v>0</v>
      </c>
      <c r="AA61" s="231">
        <f t="shared" si="4"/>
        <v>0</v>
      </c>
      <c r="AB61" s="231">
        <f t="shared" si="4"/>
        <v>0</v>
      </c>
      <c r="AC61" s="1128">
        <f>SUM(AC8:AC60)</f>
        <v>17771520610</v>
      </c>
      <c r="AD61" s="1128">
        <f>SUM(AD8:AD60)</f>
        <v>8718716884</v>
      </c>
      <c r="AE61" s="1128">
        <f>SUM(AE8:AE60)</f>
        <v>0</v>
      </c>
      <c r="AF61" s="1128">
        <f>SUM(AF8:AF60)</f>
        <v>0</v>
      </c>
      <c r="AG61" s="1128">
        <f>SUM(AG8:AG60)</f>
        <v>26490237494</v>
      </c>
      <c r="AH61" s="1135">
        <f t="shared" si="1"/>
        <v>0.46710411011696618</v>
      </c>
      <c r="AI61" s="231"/>
      <c r="AJ61" s="231"/>
      <c r="AK61" s="231"/>
      <c r="AL61" s="231"/>
      <c r="AM61" s="231"/>
      <c r="AN61" s="231"/>
      <c r="AO61" s="231"/>
      <c r="AP61" s="231"/>
      <c r="AQ61" s="231"/>
      <c r="AR61" s="245"/>
      <c r="AS61" s="789"/>
    </row>
    <row r="62" spans="1:45" s="1" customFormat="1" ht="24.75" customHeight="1" thickBot="1">
      <c r="A62" s="1162"/>
      <c r="B62" s="1163"/>
      <c r="C62" s="1163"/>
      <c r="D62" s="1163"/>
      <c r="E62" s="1163"/>
      <c r="F62" s="1163"/>
      <c r="G62" s="1163"/>
      <c r="H62" s="1163"/>
      <c r="I62" s="1163"/>
      <c r="J62" s="1163"/>
      <c r="K62" s="1163"/>
      <c r="L62" s="1163"/>
      <c r="M62" s="1164"/>
      <c r="N62" s="231">
        <v>100</v>
      </c>
      <c r="O62" s="231" t="s">
        <v>93</v>
      </c>
      <c r="P62" s="260">
        <v>1</v>
      </c>
      <c r="Q62" s="260">
        <v>1</v>
      </c>
      <c r="R62" s="260">
        <v>1</v>
      </c>
      <c r="S62" s="260">
        <v>1</v>
      </c>
      <c r="T62" s="199"/>
      <c r="U62" s="231"/>
      <c r="V62" s="1129"/>
      <c r="W62" s="1129"/>
      <c r="X62" s="1129"/>
      <c r="Y62" s="260">
        <f>AVERAGE(Y56+Y51+Y50+Y49+Y48+Y46+Y45+Y43+Y42+Y40+Y39+Y38+Y37+Y36+Y35+Y33+Y32+Y30+Y29+Y27+Y26+Y24+Y23+Y21+Y20+Y18+Y17+Y16+Y14+Y12+Y11+Y10+Y9+Y8)</f>
        <v>0</v>
      </c>
      <c r="Z62" s="260">
        <f t="shared" ref="Z62:AB62" si="5">AVERAGE(Z56+Z51+Z50+Z49+Z48+Z46+Z45+Z43+Z42+Z40+Z39+Z38+Z37+Z36+Z35+Z33+Z32+Z30+Z29+Z27+Z26+Z24+Z23+Z21+Z20+Z18+Z17+Z16+Z14+Z12+Z11+Z10+Z9+Z8)</f>
        <v>0</v>
      </c>
      <c r="AA62" s="260">
        <f t="shared" si="5"/>
        <v>0</v>
      </c>
      <c r="AB62" s="260">
        <f t="shared" si="5"/>
        <v>0</v>
      </c>
      <c r="AC62" s="1155"/>
      <c r="AD62" s="1155"/>
      <c r="AE62" s="1155"/>
      <c r="AF62" s="1155"/>
      <c r="AG62" s="1155"/>
      <c r="AH62" s="1137"/>
      <c r="AI62" s="231"/>
      <c r="AJ62" s="231"/>
      <c r="AK62" s="231"/>
      <c r="AL62" s="231"/>
      <c r="AM62" s="231"/>
      <c r="AN62" s="231"/>
      <c r="AO62" s="231"/>
      <c r="AP62" s="231"/>
      <c r="AQ62" s="231"/>
      <c r="AR62" s="242"/>
      <c r="AS62" s="789"/>
    </row>
    <row r="63" spans="1:45" s="1" customFormat="1" ht="86.25" customHeight="1" thickBot="1">
      <c r="A63" s="760" t="s">
        <v>288</v>
      </c>
      <c r="B63" s="760" t="s">
        <v>289</v>
      </c>
      <c r="C63" s="61" t="s">
        <v>290</v>
      </c>
      <c r="D63" s="58" t="s">
        <v>68</v>
      </c>
      <c r="E63" s="58">
        <v>5</v>
      </c>
      <c r="F63" s="62" t="s">
        <v>291</v>
      </c>
      <c r="G63" s="760" t="s">
        <v>292</v>
      </c>
      <c r="H63" s="168" t="s">
        <v>72</v>
      </c>
      <c r="I63" s="169" t="s">
        <v>69</v>
      </c>
      <c r="J63" s="63">
        <v>1</v>
      </c>
      <c r="K63" s="64"/>
      <c r="L63" s="58" t="s">
        <v>293</v>
      </c>
      <c r="M63" s="170" t="s">
        <v>1120</v>
      </c>
      <c r="N63" s="58">
        <v>2</v>
      </c>
      <c r="O63" s="58" t="s">
        <v>142</v>
      </c>
      <c r="P63" s="58">
        <v>0</v>
      </c>
      <c r="Q63" s="58">
        <v>1</v>
      </c>
      <c r="R63" s="58">
        <v>0</v>
      </c>
      <c r="S63" s="58">
        <v>1</v>
      </c>
      <c r="T63" s="194" t="s">
        <v>1067</v>
      </c>
      <c r="U63" s="159"/>
      <c r="V63" s="140">
        <v>0</v>
      </c>
      <c r="W63" s="140"/>
      <c r="X63" s="140">
        <f t="shared" ref="X63:X71" si="6">V63</f>
        <v>0</v>
      </c>
      <c r="Y63" s="240"/>
      <c r="Z63" s="240"/>
      <c r="AA63" s="240"/>
      <c r="AB63" s="240"/>
      <c r="AC63" s="240"/>
      <c r="AD63" s="240"/>
      <c r="AE63" s="240"/>
      <c r="AF63" s="241"/>
      <c r="AG63" s="241">
        <f t="shared" ref="AG63:AG71" si="7">+AC63+AD63+AE63+AF63</f>
        <v>0</v>
      </c>
      <c r="AH63" s="324" t="e">
        <f t="shared" si="1"/>
        <v>#DIV/0!</v>
      </c>
      <c r="AI63" s="241"/>
      <c r="AJ63" s="241"/>
      <c r="AK63" s="241"/>
      <c r="AL63" s="241"/>
      <c r="AM63" s="241"/>
      <c r="AN63" s="241"/>
      <c r="AO63" s="241"/>
      <c r="AP63" s="241"/>
      <c r="AQ63" s="242" t="s">
        <v>244</v>
      </c>
      <c r="AR63" s="242" t="s">
        <v>244</v>
      </c>
      <c r="AS63" s="790"/>
    </row>
    <row r="64" spans="1:45" s="1" customFormat="1" ht="86.25" customHeight="1" thickBot="1">
      <c r="A64" s="758"/>
      <c r="B64" s="758"/>
      <c r="C64" s="157"/>
      <c r="D64" s="157"/>
      <c r="E64" s="159"/>
      <c r="F64" s="176"/>
      <c r="G64" s="758"/>
      <c r="H64" s="168"/>
      <c r="I64" s="169"/>
      <c r="J64" s="63"/>
      <c r="K64" s="165"/>
      <c r="L64" s="158"/>
      <c r="M64" s="170" t="s">
        <v>1121</v>
      </c>
      <c r="N64" s="58">
        <v>100</v>
      </c>
      <c r="O64" s="272" t="s">
        <v>1065</v>
      </c>
      <c r="P64" s="58">
        <v>25</v>
      </c>
      <c r="Q64" s="58">
        <v>25</v>
      </c>
      <c r="R64" s="58">
        <v>25</v>
      </c>
      <c r="S64" s="58">
        <v>25</v>
      </c>
      <c r="T64" s="194"/>
      <c r="U64" s="58"/>
      <c r="V64" s="177"/>
      <c r="W64" s="177"/>
      <c r="X64" s="140"/>
      <c r="Y64" s="240"/>
      <c r="Z64" s="240"/>
      <c r="AA64" s="240"/>
      <c r="AB64" s="240"/>
      <c r="AC64" s="240"/>
      <c r="AD64" s="240"/>
      <c r="AE64" s="240"/>
      <c r="AF64" s="241"/>
      <c r="AG64" s="241">
        <f t="shared" si="7"/>
        <v>0</v>
      </c>
      <c r="AH64" s="324" t="e">
        <f t="shared" si="1"/>
        <v>#DIV/0!</v>
      </c>
      <c r="AI64" s="241"/>
      <c r="AJ64" s="241"/>
      <c r="AK64" s="241"/>
      <c r="AL64" s="241"/>
      <c r="AM64" s="241"/>
      <c r="AN64" s="241"/>
      <c r="AO64" s="241"/>
      <c r="AP64" s="241"/>
      <c r="AQ64" s="242"/>
      <c r="AR64" s="242"/>
      <c r="AS64" s="136"/>
    </row>
    <row r="65" spans="1:45" s="1" customFormat="1" ht="86.25" customHeight="1" thickBot="1">
      <c r="A65" s="758"/>
      <c r="B65" s="758"/>
      <c r="C65" s="157"/>
      <c r="D65" s="157"/>
      <c r="E65" s="159"/>
      <c r="F65" s="176"/>
      <c r="G65" s="805"/>
      <c r="H65" s="168"/>
      <c r="I65" s="169"/>
      <c r="J65" s="63"/>
      <c r="K65" s="165"/>
      <c r="L65" s="158"/>
      <c r="M65" s="170" t="s">
        <v>1122</v>
      </c>
      <c r="N65" s="58">
        <v>2</v>
      </c>
      <c r="O65" s="58" t="s">
        <v>300</v>
      </c>
      <c r="P65" s="58">
        <v>0</v>
      </c>
      <c r="Q65" s="58">
        <v>1</v>
      </c>
      <c r="R65" s="58">
        <v>1</v>
      </c>
      <c r="S65" s="58">
        <v>0</v>
      </c>
      <c r="T65" s="194"/>
      <c r="U65" s="58"/>
      <c r="V65" s="177"/>
      <c r="W65" s="177"/>
      <c r="X65" s="140"/>
      <c r="Y65" s="240"/>
      <c r="Z65" s="240"/>
      <c r="AA65" s="240"/>
      <c r="AB65" s="240"/>
      <c r="AC65" s="240"/>
      <c r="AD65" s="240"/>
      <c r="AE65" s="240"/>
      <c r="AF65" s="241"/>
      <c r="AG65" s="241">
        <f t="shared" si="7"/>
        <v>0</v>
      </c>
      <c r="AH65" s="324" t="e">
        <f t="shared" si="1"/>
        <v>#DIV/0!</v>
      </c>
      <c r="AI65" s="241"/>
      <c r="AJ65" s="241"/>
      <c r="AK65" s="241"/>
      <c r="AL65" s="241"/>
      <c r="AM65" s="241"/>
      <c r="AN65" s="241"/>
      <c r="AO65" s="241"/>
      <c r="AP65" s="241"/>
      <c r="AQ65" s="242"/>
      <c r="AR65" s="242"/>
      <c r="AS65" s="136"/>
    </row>
    <row r="66" spans="1:45" s="1" customFormat="1" ht="86.25" customHeight="1" thickBot="1">
      <c r="A66" s="758"/>
      <c r="B66" s="758"/>
      <c r="C66" s="157"/>
      <c r="D66" s="157"/>
      <c r="E66" s="159"/>
      <c r="F66" s="176"/>
      <c r="G66" s="766" t="s">
        <v>297</v>
      </c>
      <c r="H66" s="168"/>
      <c r="I66" s="169"/>
      <c r="J66" s="63"/>
      <c r="K66" s="165"/>
      <c r="L66" s="158"/>
      <c r="M66" s="172" t="s">
        <v>1123</v>
      </c>
      <c r="N66" s="167">
        <v>1</v>
      </c>
      <c r="O66" s="167" t="s">
        <v>300</v>
      </c>
      <c r="P66" s="167">
        <v>0</v>
      </c>
      <c r="Q66" s="167">
        <v>0</v>
      </c>
      <c r="R66" s="167">
        <v>0</v>
      </c>
      <c r="S66" s="167">
        <v>1</v>
      </c>
      <c r="T66" s="194"/>
      <c r="U66" s="158"/>
      <c r="V66" s="177"/>
      <c r="W66" s="177"/>
      <c r="X66" s="140"/>
      <c r="Y66" s="240"/>
      <c r="Z66" s="240"/>
      <c r="AA66" s="240"/>
      <c r="AB66" s="240"/>
      <c r="AC66" s="240"/>
      <c r="AD66" s="240"/>
      <c r="AE66" s="240"/>
      <c r="AF66" s="241"/>
      <c r="AG66" s="241">
        <f t="shared" si="7"/>
        <v>0</v>
      </c>
      <c r="AH66" s="324" t="e">
        <f t="shared" si="1"/>
        <v>#DIV/0!</v>
      </c>
      <c r="AI66" s="241"/>
      <c r="AJ66" s="241"/>
      <c r="AK66" s="241"/>
      <c r="AL66" s="241"/>
      <c r="AM66" s="241"/>
      <c r="AN66" s="241"/>
      <c r="AO66" s="241"/>
      <c r="AP66" s="241"/>
      <c r="AQ66" s="242"/>
      <c r="AR66" s="242"/>
      <c r="AS66" s="136"/>
    </row>
    <row r="67" spans="1:45" s="1" customFormat="1" ht="144" customHeight="1" thickBot="1">
      <c r="A67" s="758"/>
      <c r="B67" s="758"/>
      <c r="C67" s="766" t="s">
        <v>295</v>
      </c>
      <c r="D67" s="766" t="s">
        <v>93</v>
      </c>
      <c r="E67" s="760">
        <v>5</v>
      </c>
      <c r="F67" s="51" t="s">
        <v>296</v>
      </c>
      <c r="G67" s="759"/>
      <c r="H67" s="168" t="s">
        <v>72</v>
      </c>
      <c r="I67" s="169" t="s">
        <v>69</v>
      </c>
      <c r="J67" s="63">
        <v>1</v>
      </c>
      <c r="K67" s="52"/>
      <c r="L67" s="167" t="s">
        <v>298</v>
      </c>
      <c r="M67" s="173" t="s">
        <v>1124</v>
      </c>
      <c r="N67" s="158">
        <v>1</v>
      </c>
      <c r="O67" s="158" t="s">
        <v>300</v>
      </c>
      <c r="P67" s="158">
        <v>0</v>
      </c>
      <c r="Q67" s="158">
        <v>0</v>
      </c>
      <c r="R67" s="158">
        <v>0</v>
      </c>
      <c r="S67" s="158">
        <v>1</v>
      </c>
      <c r="T67" s="194" t="s">
        <v>1067</v>
      </c>
      <c r="U67" s="158"/>
      <c r="V67" s="186"/>
      <c r="W67" s="186"/>
      <c r="X67" s="140">
        <f t="shared" si="6"/>
        <v>0</v>
      </c>
      <c r="Y67" s="240"/>
      <c r="Z67" s="240"/>
      <c r="AA67" s="240"/>
      <c r="AB67" s="240"/>
      <c r="AC67" s="240"/>
      <c r="AD67" s="240"/>
      <c r="AE67" s="240"/>
      <c r="AF67" s="241"/>
      <c r="AG67" s="241">
        <f t="shared" si="7"/>
        <v>0</v>
      </c>
      <c r="AH67" s="324" t="e">
        <f t="shared" si="1"/>
        <v>#DIV/0!</v>
      </c>
      <c r="AI67" s="241"/>
      <c r="AJ67" s="241"/>
      <c r="AK67" s="241"/>
      <c r="AL67" s="241"/>
      <c r="AM67" s="241"/>
      <c r="AN67" s="241"/>
      <c r="AO67" s="241"/>
      <c r="AP67" s="241"/>
      <c r="AQ67" s="242" t="s">
        <v>244</v>
      </c>
      <c r="AR67" s="242" t="s">
        <v>244</v>
      </c>
      <c r="AS67" s="788" t="s">
        <v>1125</v>
      </c>
    </row>
    <row r="68" spans="1:45" s="1" customFormat="1" ht="144" customHeight="1" thickBot="1">
      <c r="A68" s="758"/>
      <c r="B68" s="758"/>
      <c r="C68" s="805"/>
      <c r="D68" s="759"/>
      <c r="E68" s="759"/>
      <c r="F68" s="55" t="s">
        <v>301</v>
      </c>
      <c r="G68" s="804" t="s">
        <v>302</v>
      </c>
      <c r="H68" s="168" t="s">
        <v>72</v>
      </c>
      <c r="I68" s="169" t="s">
        <v>69</v>
      </c>
      <c r="J68" s="63">
        <v>1</v>
      </c>
      <c r="K68" s="193"/>
      <c r="L68" s="193" t="s">
        <v>303</v>
      </c>
      <c r="M68" s="170" t="s">
        <v>1126</v>
      </c>
      <c r="N68" s="58">
        <v>1</v>
      </c>
      <c r="O68" s="58" t="s">
        <v>300</v>
      </c>
      <c r="P68" s="58">
        <v>0</v>
      </c>
      <c r="Q68" s="58">
        <v>0</v>
      </c>
      <c r="R68" s="58">
        <v>1</v>
      </c>
      <c r="S68" s="58">
        <v>0</v>
      </c>
      <c r="T68" s="178" t="s">
        <v>1067</v>
      </c>
      <c r="U68" s="158"/>
      <c r="V68" s="186"/>
      <c r="W68" s="186"/>
      <c r="X68" s="140">
        <f t="shared" si="6"/>
        <v>0</v>
      </c>
      <c r="Y68" s="240"/>
      <c r="Z68" s="240"/>
      <c r="AA68" s="240"/>
      <c r="AB68" s="240"/>
      <c r="AC68" s="240"/>
      <c r="AD68" s="240"/>
      <c r="AE68" s="240"/>
      <c r="AF68" s="241"/>
      <c r="AG68" s="241">
        <f t="shared" si="7"/>
        <v>0</v>
      </c>
      <c r="AH68" s="324" t="e">
        <f t="shared" si="1"/>
        <v>#DIV/0!</v>
      </c>
      <c r="AI68" s="241"/>
      <c r="AJ68" s="241"/>
      <c r="AK68" s="241"/>
      <c r="AL68" s="241"/>
      <c r="AM68" s="241"/>
      <c r="AN68" s="241"/>
      <c r="AO68" s="241"/>
      <c r="AP68" s="241"/>
      <c r="AQ68" s="242" t="s">
        <v>244</v>
      </c>
      <c r="AR68" s="242" t="s">
        <v>244</v>
      </c>
      <c r="AS68" s="789"/>
    </row>
    <row r="69" spans="1:45" s="1" customFormat="1" ht="144" customHeight="1" thickBot="1">
      <c r="A69" s="758"/>
      <c r="B69" s="758"/>
      <c r="C69" s="180"/>
      <c r="D69" s="157"/>
      <c r="E69" s="157"/>
      <c r="F69" s="176"/>
      <c r="G69" s="804"/>
      <c r="H69" s="175"/>
      <c r="I69" s="195"/>
      <c r="J69" s="63"/>
      <c r="K69" s="192"/>
      <c r="L69" s="192"/>
      <c r="M69" s="170" t="s">
        <v>1127</v>
      </c>
      <c r="N69" s="58">
        <v>100</v>
      </c>
      <c r="O69" s="272" t="s">
        <v>1065</v>
      </c>
      <c r="P69" s="58">
        <v>25</v>
      </c>
      <c r="Q69" s="58">
        <v>25</v>
      </c>
      <c r="R69" s="58">
        <v>25</v>
      </c>
      <c r="S69" s="58">
        <v>25</v>
      </c>
      <c r="T69" s="178"/>
      <c r="U69" s="157"/>
      <c r="V69" s="185"/>
      <c r="W69" s="185"/>
      <c r="X69" s="140"/>
      <c r="Y69" s="240"/>
      <c r="Z69" s="240"/>
      <c r="AA69" s="240"/>
      <c r="AB69" s="240"/>
      <c r="AC69" s="240"/>
      <c r="AD69" s="240"/>
      <c r="AE69" s="240"/>
      <c r="AF69" s="241"/>
      <c r="AG69" s="241">
        <f t="shared" si="7"/>
        <v>0</v>
      </c>
      <c r="AH69" s="324" t="e">
        <f t="shared" si="1"/>
        <v>#DIV/0!</v>
      </c>
      <c r="AI69" s="241"/>
      <c r="AJ69" s="241"/>
      <c r="AK69" s="241"/>
      <c r="AL69" s="241"/>
      <c r="AM69" s="241"/>
      <c r="AN69" s="241"/>
      <c r="AO69" s="241"/>
      <c r="AP69" s="241"/>
      <c r="AQ69" s="242"/>
      <c r="AR69" s="242"/>
      <c r="AS69" s="789"/>
    </row>
    <row r="70" spans="1:45" s="1" customFormat="1" ht="144" customHeight="1" thickBot="1">
      <c r="A70" s="758"/>
      <c r="B70" s="758"/>
      <c r="C70" s="180"/>
      <c r="D70" s="157"/>
      <c r="E70" s="157"/>
      <c r="F70" s="176"/>
      <c r="G70" s="804"/>
      <c r="H70" s="175"/>
      <c r="I70" s="195"/>
      <c r="J70" s="63"/>
      <c r="K70" s="192"/>
      <c r="L70" s="192"/>
      <c r="M70" s="170" t="s">
        <v>1128</v>
      </c>
      <c r="N70" s="58">
        <v>100</v>
      </c>
      <c r="O70" s="272" t="s">
        <v>98</v>
      </c>
      <c r="P70" s="58">
        <v>25</v>
      </c>
      <c r="Q70" s="58">
        <v>25</v>
      </c>
      <c r="R70" s="58">
        <v>25</v>
      </c>
      <c r="S70" s="58">
        <v>25</v>
      </c>
      <c r="T70" s="178"/>
      <c r="U70" s="157"/>
      <c r="V70" s="185"/>
      <c r="W70" s="185"/>
      <c r="X70" s="140"/>
      <c r="Y70" s="240"/>
      <c r="Z70" s="240"/>
      <c r="AA70" s="240"/>
      <c r="AB70" s="240"/>
      <c r="AC70" s="240"/>
      <c r="AD70" s="240"/>
      <c r="AE70" s="240"/>
      <c r="AF70" s="241"/>
      <c r="AG70" s="241">
        <f t="shared" si="7"/>
        <v>0</v>
      </c>
      <c r="AH70" s="324" t="e">
        <f t="shared" si="1"/>
        <v>#DIV/0!</v>
      </c>
      <c r="AI70" s="241"/>
      <c r="AJ70" s="241"/>
      <c r="AK70" s="241"/>
      <c r="AL70" s="241"/>
      <c r="AM70" s="241"/>
      <c r="AN70" s="241"/>
      <c r="AO70" s="241"/>
      <c r="AP70" s="241"/>
      <c r="AQ70" s="242"/>
      <c r="AR70" s="242"/>
      <c r="AS70" s="789"/>
    </row>
    <row r="71" spans="1:45" s="1" customFormat="1" ht="84" customHeight="1" thickBot="1">
      <c r="A71" s="805"/>
      <c r="B71" s="805"/>
      <c r="C71" s="66" t="s">
        <v>305</v>
      </c>
      <c r="D71" s="61" t="s">
        <v>306</v>
      </c>
      <c r="E71" s="61">
        <v>3</v>
      </c>
      <c r="F71" s="62" t="s">
        <v>307</v>
      </c>
      <c r="G71" s="67" t="s">
        <v>311</v>
      </c>
      <c r="H71" s="62" t="s">
        <v>93</v>
      </c>
      <c r="I71" s="63" t="s">
        <v>69</v>
      </c>
      <c r="J71" s="63">
        <v>50</v>
      </c>
      <c r="K71" s="63"/>
      <c r="L71" s="61" t="s">
        <v>312</v>
      </c>
      <c r="M71" s="171" t="s">
        <v>1129</v>
      </c>
      <c r="N71" s="61">
        <v>100</v>
      </c>
      <c r="O71" s="275" t="s">
        <v>1065</v>
      </c>
      <c r="P71" s="61">
        <v>25</v>
      </c>
      <c r="Q71" s="61">
        <v>25</v>
      </c>
      <c r="R71" s="61">
        <v>25</v>
      </c>
      <c r="S71" s="61">
        <v>25</v>
      </c>
      <c r="T71" s="194" t="s">
        <v>1067</v>
      </c>
      <c r="U71" s="61"/>
      <c r="V71" s="65">
        <v>400000000</v>
      </c>
      <c r="W71" s="184"/>
      <c r="X71" s="140">
        <f t="shared" si="6"/>
        <v>400000000</v>
      </c>
      <c r="Y71" s="240"/>
      <c r="Z71" s="240"/>
      <c r="AA71" s="240"/>
      <c r="AB71" s="240"/>
      <c r="AC71" s="240">
        <v>133808605</v>
      </c>
      <c r="AD71" s="240">
        <v>63501578</v>
      </c>
      <c r="AE71" s="240"/>
      <c r="AF71" s="241"/>
      <c r="AG71" s="241">
        <f t="shared" si="7"/>
        <v>197310183</v>
      </c>
      <c r="AH71" s="324">
        <f t="shared" si="1"/>
        <v>0.49327545750000001</v>
      </c>
      <c r="AI71" s="241"/>
      <c r="AJ71" s="241"/>
      <c r="AK71" s="241"/>
      <c r="AL71" s="241"/>
      <c r="AM71" s="241"/>
      <c r="AN71" s="241"/>
      <c r="AO71" s="241"/>
      <c r="AP71" s="241"/>
      <c r="AQ71" s="242" t="s">
        <v>244</v>
      </c>
      <c r="AR71" s="242" t="s">
        <v>244</v>
      </c>
      <c r="AS71" s="790"/>
    </row>
    <row r="72" spans="1:45" s="1" customFormat="1" ht="33.75" customHeight="1" thickBot="1">
      <c r="A72" s="1159" t="s">
        <v>979</v>
      </c>
      <c r="B72" s="1160"/>
      <c r="C72" s="1160"/>
      <c r="D72" s="1160"/>
      <c r="E72" s="1160"/>
      <c r="F72" s="1160"/>
      <c r="G72" s="1160"/>
      <c r="H72" s="1160"/>
      <c r="I72" s="1160"/>
      <c r="J72" s="1160"/>
      <c r="K72" s="1160"/>
      <c r="L72" s="1160"/>
      <c r="M72" s="1161"/>
      <c r="N72" s="231">
        <f>N68+N67+N66+N65+N63</f>
        <v>7</v>
      </c>
      <c r="O72" s="231" t="s">
        <v>340</v>
      </c>
      <c r="P72" s="231">
        <f>P68+P67+P66+P65+P63</f>
        <v>0</v>
      </c>
      <c r="Q72" s="231">
        <f t="shared" ref="Q72:S72" si="8">Q68+Q67+Q66+Q65+Q63</f>
        <v>2</v>
      </c>
      <c r="R72" s="231">
        <f t="shared" si="8"/>
        <v>2</v>
      </c>
      <c r="S72" s="231">
        <f t="shared" si="8"/>
        <v>3</v>
      </c>
      <c r="T72" s="231"/>
      <c r="U72" s="231"/>
      <c r="V72" s="1166">
        <f>V71+V70+V69+V68+V67+V66+V65+V64+V63</f>
        <v>400000000</v>
      </c>
      <c r="W72" s="318"/>
      <c r="X72" s="1166">
        <f>X71+X70+X69+X68+X67+X66+X65+X64+X63</f>
        <v>400000000</v>
      </c>
      <c r="Y72" s="231">
        <f>Y68+Y67+Y66+Y65+Y63</f>
        <v>0</v>
      </c>
      <c r="Z72" s="231">
        <f t="shared" ref="Z72:AB72" si="9">Z68+Z67+Z66+Z65+Z63</f>
        <v>0</v>
      </c>
      <c r="AA72" s="231">
        <f t="shared" si="9"/>
        <v>0</v>
      </c>
      <c r="AB72" s="231">
        <f t="shared" si="9"/>
        <v>0</v>
      </c>
      <c r="AC72" s="1166">
        <f t="shared" ref="AC72:AG72" si="10">AC71+AC70+AC69+AC68+AC67+AC66+AC65+AC64+AC63</f>
        <v>133808605</v>
      </c>
      <c r="AD72" s="1166">
        <f t="shared" si="10"/>
        <v>63501578</v>
      </c>
      <c r="AE72" s="1166">
        <f t="shared" si="10"/>
        <v>0</v>
      </c>
      <c r="AF72" s="1166">
        <f t="shared" si="10"/>
        <v>0</v>
      </c>
      <c r="AG72" s="1166">
        <f t="shared" si="10"/>
        <v>197310183</v>
      </c>
      <c r="AH72" s="1135">
        <f t="shared" si="1"/>
        <v>0.49327545750000001</v>
      </c>
      <c r="AI72" s="1166"/>
      <c r="AJ72" s="1166"/>
      <c r="AK72" s="231"/>
      <c r="AL72" s="231"/>
      <c r="AM72" s="231"/>
      <c r="AN72" s="231"/>
      <c r="AO72" s="231"/>
      <c r="AP72" s="231"/>
      <c r="AQ72" s="231"/>
      <c r="AR72" s="231"/>
    </row>
    <row r="73" spans="1:45" s="1" customFormat="1" ht="33" customHeight="1">
      <c r="A73" s="1162"/>
      <c r="B73" s="1163"/>
      <c r="C73" s="1163"/>
      <c r="D73" s="1163"/>
      <c r="E73" s="1163"/>
      <c r="F73" s="1163"/>
      <c r="G73" s="1163"/>
      <c r="H73" s="1163"/>
      <c r="I73" s="1163"/>
      <c r="J73" s="1163"/>
      <c r="K73" s="1163"/>
      <c r="L73" s="1163"/>
      <c r="M73" s="1164"/>
      <c r="N73" s="198">
        <v>100</v>
      </c>
      <c r="O73" s="198" t="s">
        <v>93</v>
      </c>
      <c r="P73" s="260">
        <v>1</v>
      </c>
      <c r="Q73" s="260">
        <v>1</v>
      </c>
      <c r="R73" s="260">
        <v>1</v>
      </c>
      <c r="S73" s="260">
        <v>1</v>
      </c>
      <c r="T73" s="199"/>
      <c r="U73" s="198"/>
      <c r="V73" s="1129"/>
      <c r="W73" s="235"/>
      <c r="X73" s="1129"/>
      <c r="Y73" s="260">
        <f>AVERAGE(Y71+Y70+Y69+Y64)</f>
        <v>0</v>
      </c>
      <c r="Z73" s="260">
        <f t="shared" ref="Z73:AB73" si="11">AVERAGE(Z71+Z70+Z69+Z64)</f>
        <v>0</v>
      </c>
      <c r="AA73" s="260">
        <f t="shared" si="11"/>
        <v>0</v>
      </c>
      <c r="AB73" s="260">
        <f t="shared" si="11"/>
        <v>0</v>
      </c>
      <c r="AC73" s="1129"/>
      <c r="AD73" s="1129"/>
      <c r="AE73" s="1129"/>
      <c r="AF73" s="1129"/>
      <c r="AG73" s="1129"/>
      <c r="AH73" s="1137"/>
      <c r="AI73" s="1129"/>
      <c r="AJ73" s="1129"/>
      <c r="AK73" s="236"/>
      <c r="AL73" s="236"/>
      <c r="AM73" s="236"/>
      <c r="AN73" s="236"/>
      <c r="AO73" s="236"/>
      <c r="AP73" s="236"/>
      <c r="AQ73" s="237"/>
      <c r="AR73" s="237"/>
    </row>
    <row r="74" spans="1:45" s="1" customFormat="1">
      <c r="A74" s="3"/>
      <c r="B74" s="3"/>
      <c r="C74" s="3"/>
      <c r="D74" s="3"/>
      <c r="E74" s="3"/>
      <c r="F74" s="3"/>
      <c r="G74" s="3"/>
      <c r="H74" s="3"/>
      <c r="M74" s="5"/>
      <c r="N74" s="3"/>
      <c r="O74" s="3"/>
      <c r="P74" s="3"/>
      <c r="Q74" s="3"/>
      <c r="R74" s="3"/>
      <c r="S74" s="3"/>
      <c r="T74" s="3" t="e">
        <f>+T73-#REF!</f>
        <v>#REF!</v>
      </c>
      <c r="U74" s="3"/>
      <c r="V74" s="7"/>
      <c r="W74" s="7"/>
      <c r="X74" s="7"/>
      <c r="Y74" s="7"/>
      <c r="Z74" s="7"/>
      <c r="AA74" s="7"/>
      <c r="AB74" s="7"/>
      <c r="AC74" s="7"/>
      <c r="AD74" s="7"/>
      <c r="AE74" s="7"/>
      <c r="AF74" s="7"/>
      <c r="AG74" s="7"/>
      <c r="AH74" s="7"/>
      <c r="AI74" s="7"/>
      <c r="AJ74" s="7"/>
      <c r="AK74" s="7"/>
      <c r="AL74" s="7"/>
      <c r="AM74" s="7"/>
      <c r="AN74" s="7"/>
      <c r="AO74" s="7"/>
      <c r="AP74" s="7"/>
      <c r="AQ74" s="3"/>
      <c r="AR74" s="3"/>
    </row>
    <row r="75" spans="1:45" s="1" customFormat="1" ht="15" customHeight="1">
      <c r="A75" s="3"/>
      <c r="B75" s="3"/>
      <c r="C75" s="3"/>
      <c r="D75" s="3"/>
      <c r="E75" s="3"/>
      <c r="F75" s="3"/>
      <c r="G75" s="3"/>
      <c r="H75" s="3"/>
      <c r="M75" s="5"/>
      <c r="N75" s="3"/>
      <c r="O75" s="3"/>
      <c r="P75" s="3"/>
      <c r="Q75" s="3"/>
      <c r="R75" s="3"/>
      <c r="S75" s="3"/>
      <c r="T75" s="3"/>
      <c r="U75" s="3"/>
      <c r="V75" s="7"/>
      <c r="W75" s="7"/>
      <c r="X75" s="7"/>
      <c r="Y75" s="7"/>
      <c r="Z75" s="7"/>
      <c r="AA75" s="7"/>
      <c r="AB75" s="7"/>
      <c r="AC75" s="7"/>
      <c r="AD75" s="7"/>
      <c r="AE75" s="7"/>
      <c r="AF75" s="7"/>
      <c r="AG75" s="7"/>
      <c r="AH75" s="7"/>
      <c r="AI75" s="7"/>
      <c r="AJ75" s="7"/>
      <c r="AK75" s="7"/>
      <c r="AL75" s="7"/>
      <c r="AM75" s="7"/>
      <c r="AN75" s="7"/>
      <c r="AO75" s="7"/>
      <c r="AP75" s="7"/>
      <c r="AQ75" s="3"/>
      <c r="AR75" s="3"/>
    </row>
    <row r="76" spans="1:45" s="1" customFormat="1" ht="15">
      <c r="A76" s="1108" t="s">
        <v>995</v>
      </c>
      <c r="B76" s="1108"/>
      <c r="C76" s="1108"/>
      <c r="D76" s="1108"/>
      <c r="E76" s="1108"/>
      <c r="F76" s="1108"/>
      <c r="G76" s="1108"/>
      <c r="H76" s="1108"/>
      <c r="I76" s="1108"/>
      <c r="J76" s="1108"/>
      <c r="K76" s="1108"/>
      <c r="L76" s="1108"/>
      <c r="M76" s="1108"/>
      <c r="N76" s="1108"/>
      <c r="O76" s="1108"/>
      <c r="P76" s="3"/>
      <c r="Q76" s="3"/>
      <c r="R76" s="3"/>
      <c r="S76" s="3"/>
      <c r="T76" s="3"/>
      <c r="U76" s="3"/>
      <c r="V76" s="7"/>
      <c r="W76" s="7"/>
      <c r="X76" s="7"/>
      <c r="Y76" s="7"/>
      <c r="Z76" s="7"/>
      <c r="AA76" s="7"/>
      <c r="AB76" s="7"/>
      <c r="AC76" s="7"/>
      <c r="AD76" s="7"/>
      <c r="AE76" s="7"/>
      <c r="AF76" s="7"/>
      <c r="AG76" s="7"/>
      <c r="AH76" s="7"/>
      <c r="AI76" s="7"/>
      <c r="AJ76" s="7"/>
      <c r="AK76" s="7"/>
      <c r="AL76" s="7"/>
      <c r="AM76" s="7"/>
      <c r="AN76" s="7"/>
      <c r="AO76" s="7"/>
      <c r="AP76" s="7"/>
      <c r="AQ76" s="3"/>
      <c r="AR76" s="3"/>
    </row>
    <row r="77" spans="1:45" s="1" customFormat="1" ht="90">
      <c r="A77" s="223" t="s">
        <v>996</v>
      </c>
      <c r="B77" s="224" t="s">
        <v>997</v>
      </c>
      <c r="C77" s="224" t="s">
        <v>998</v>
      </c>
      <c r="D77" s="224" t="s">
        <v>660</v>
      </c>
      <c r="E77" s="224" t="s">
        <v>999</v>
      </c>
      <c r="F77" s="224" t="s">
        <v>660</v>
      </c>
      <c r="G77" s="224" t="s">
        <v>1000</v>
      </c>
      <c r="H77" s="224" t="s">
        <v>660</v>
      </c>
      <c r="I77" s="224"/>
      <c r="J77" s="225"/>
      <c r="K77" s="225"/>
      <c r="L77" s="225"/>
      <c r="M77" s="224" t="s">
        <v>660</v>
      </c>
      <c r="N77" s="224" t="s">
        <v>1001</v>
      </c>
      <c r="O77" s="224" t="s">
        <v>660</v>
      </c>
      <c r="P77" s="3"/>
      <c r="Q77" s="3"/>
      <c r="R77" s="3"/>
      <c r="S77" s="3"/>
      <c r="T77" s="13" t="e">
        <f>#REF!-#REF!</f>
        <v>#REF!</v>
      </c>
      <c r="U77" s="3"/>
      <c r="V77" s="7"/>
      <c r="W77" s="7"/>
      <c r="X77" s="7"/>
      <c r="Y77" s="7"/>
      <c r="Z77" s="7"/>
      <c r="AA77" s="7"/>
      <c r="AB77" s="7"/>
      <c r="AC77" s="7"/>
      <c r="AD77" s="7"/>
      <c r="AE77" s="7"/>
      <c r="AF77" s="7"/>
      <c r="AG77" s="7"/>
      <c r="AH77" s="7"/>
      <c r="AI77" s="7"/>
      <c r="AJ77" s="7"/>
      <c r="AK77" s="7"/>
      <c r="AL77" s="7"/>
      <c r="AM77" s="7"/>
      <c r="AN77" s="7"/>
      <c r="AO77" s="7"/>
      <c r="AP77" s="7"/>
      <c r="AQ77" s="3"/>
      <c r="AR77" s="3"/>
    </row>
    <row r="78" spans="1:45" s="1" customFormat="1">
      <c r="A78" s="213" t="s">
        <v>1002</v>
      </c>
      <c r="B78" s="213">
        <f>N61</f>
        <v>11282</v>
      </c>
      <c r="C78" s="213">
        <f>Y61</f>
        <v>0</v>
      </c>
      <c r="D78" s="220">
        <f>B78*C78/100</f>
        <v>0</v>
      </c>
      <c r="E78" s="213">
        <f>Z61</f>
        <v>0</v>
      </c>
      <c r="F78" s="220">
        <f>B78*E78/100</f>
        <v>0</v>
      </c>
      <c r="G78" s="213">
        <f>AA61</f>
        <v>0</v>
      </c>
      <c r="H78" s="213"/>
      <c r="I78" s="214"/>
      <c r="J78" s="214"/>
      <c r="K78" s="214"/>
      <c r="L78" s="214"/>
      <c r="M78" s="220">
        <f>B78*G78/100</f>
        <v>0</v>
      </c>
      <c r="N78" s="213">
        <f>AB61</f>
        <v>0</v>
      </c>
      <c r="O78" s="220">
        <f>B78*N78/100</f>
        <v>0</v>
      </c>
      <c r="P78" s="3"/>
      <c r="Q78" s="3"/>
      <c r="R78" s="3"/>
      <c r="S78" s="3"/>
      <c r="T78" s="3"/>
      <c r="U78" s="14"/>
      <c r="V78" s="7"/>
      <c r="W78" s="7"/>
      <c r="X78" s="7"/>
      <c r="Y78" s="7"/>
      <c r="Z78" s="7"/>
      <c r="AA78" s="7"/>
      <c r="AB78" s="7"/>
      <c r="AC78" s="7"/>
      <c r="AD78" s="7"/>
      <c r="AE78" s="7"/>
      <c r="AF78" s="7"/>
      <c r="AG78" s="7"/>
      <c r="AH78" s="7"/>
      <c r="AI78" s="7"/>
      <c r="AJ78" s="7"/>
      <c r="AK78" s="7"/>
      <c r="AL78" s="7"/>
      <c r="AM78" s="7"/>
      <c r="AN78" s="7"/>
      <c r="AO78" s="7"/>
      <c r="AP78" s="7"/>
      <c r="AQ78" s="3"/>
      <c r="AR78" s="3"/>
    </row>
    <row r="79" spans="1:45" s="1" customFormat="1" ht="23.25">
      <c r="A79" s="213" t="s">
        <v>93</v>
      </c>
      <c r="B79" s="220">
        <v>1</v>
      </c>
      <c r="C79" s="220">
        <f>Y62</f>
        <v>0</v>
      </c>
      <c r="D79" s="220">
        <f>B79*C79/100</f>
        <v>0</v>
      </c>
      <c r="E79" s="220">
        <f>Z62</f>
        <v>0</v>
      </c>
      <c r="F79" s="220">
        <f>B79*E79/100</f>
        <v>0</v>
      </c>
      <c r="G79" s="220">
        <f>AA62</f>
        <v>0</v>
      </c>
      <c r="H79" s="213"/>
      <c r="I79" s="214"/>
      <c r="J79" s="214"/>
      <c r="K79" s="214"/>
      <c r="L79" s="214"/>
      <c r="M79" s="220">
        <f>B79*G79/100</f>
        <v>0</v>
      </c>
      <c r="N79" s="220">
        <f>AB62</f>
        <v>0</v>
      </c>
      <c r="O79" s="220">
        <f>B79*N79/100</f>
        <v>0</v>
      </c>
      <c r="P79" s="3"/>
      <c r="Q79" s="3"/>
      <c r="R79" s="3"/>
      <c r="S79" s="3"/>
      <c r="T79" s="3"/>
      <c r="U79" s="3"/>
      <c r="V79" s="7"/>
      <c r="W79" s="7"/>
      <c r="X79" s="12"/>
      <c r="Y79" s="202"/>
      <c r="Z79" s="202"/>
      <c r="AA79" s="202"/>
      <c r="AB79" s="202"/>
      <c r="AC79" s="202"/>
      <c r="AD79" s="202"/>
      <c r="AE79" s="202"/>
      <c r="AF79" s="202"/>
      <c r="AG79" s="202"/>
      <c r="AH79" s="202"/>
      <c r="AI79" s="202"/>
      <c r="AJ79" s="202"/>
      <c r="AK79" s="202"/>
      <c r="AL79" s="202"/>
      <c r="AM79" s="202"/>
      <c r="AN79" s="202"/>
      <c r="AO79" s="202"/>
      <c r="AP79" s="202"/>
      <c r="AQ79" s="13" t="e">
        <f>X79-#REF!</f>
        <v>#REF!</v>
      </c>
      <c r="AR79" s="3"/>
    </row>
    <row r="80" spans="1:45" s="1" customFormat="1" ht="15" customHeight="1">
      <c r="A80" s="3"/>
      <c r="B80" s="3"/>
      <c r="C80" s="3"/>
      <c r="D80" s="3"/>
      <c r="E80" s="3"/>
      <c r="F80" s="3"/>
      <c r="G80" s="3"/>
      <c r="H80" s="3"/>
      <c r="M80" s="5"/>
      <c r="N80" s="3"/>
      <c r="O80" s="3"/>
      <c r="P80" s="3"/>
      <c r="Q80" s="3"/>
      <c r="R80" s="3"/>
      <c r="S80" s="3"/>
      <c r="T80" s="3"/>
      <c r="U80" s="3"/>
      <c r="V80" s="7"/>
      <c r="W80" s="7"/>
      <c r="X80" s="7"/>
      <c r="Y80" s="7"/>
      <c r="Z80" s="7"/>
      <c r="AA80" s="7"/>
      <c r="AB80" s="7"/>
      <c r="AC80" s="7"/>
      <c r="AD80" s="7"/>
      <c r="AE80" s="7"/>
      <c r="AF80" s="7"/>
      <c r="AG80" s="7"/>
      <c r="AH80" s="7"/>
      <c r="AI80" s="7"/>
      <c r="AJ80" s="7"/>
      <c r="AK80" s="7"/>
      <c r="AL80" s="7"/>
      <c r="AM80" s="7"/>
      <c r="AN80" s="7"/>
      <c r="AO80" s="7"/>
      <c r="AP80" s="7"/>
      <c r="AQ80" s="3"/>
      <c r="AR80" s="3"/>
    </row>
    <row r="81" spans="1:44" s="1" customFormat="1" ht="15">
      <c r="A81" s="1109" t="s">
        <v>1003</v>
      </c>
      <c r="B81" s="1109"/>
      <c r="C81" s="1109"/>
      <c r="D81" s="1109"/>
      <c r="E81" s="1109"/>
      <c r="F81" s="1109"/>
      <c r="G81" s="1109"/>
      <c r="H81" s="1109"/>
      <c r="I81" s="1109"/>
      <c r="J81" s="1109"/>
      <c r="K81" s="1109"/>
      <c r="L81" s="1109"/>
      <c r="M81" s="1109"/>
      <c r="N81" s="1109"/>
      <c r="O81" s="3"/>
      <c r="P81" s="3"/>
      <c r="Q81" s="3"/>
      <c r="R81" s="3"/>
      <c r="S81" s="3"/>
      <c r="T81" s="13" t="e">
        <f>#REF!-#REF!</f>
        <v>#REF!</v>
      </c>
      <c r="U81" s="3"/>
      <c r="V81" s="7"/>
      <c r="W81" s="7"/>
      <c r="X81" s="7"/>
      <c r="Y81" s="7"/>
      <c r="Z81" s="7"/>
      <c r="AA81" s="7"/>
      <c r="AB81" s="7"/>
      <c r="AC81" s="7"/>
      <c r="AD81" s="7"/>
      <c r="AE81" s="7"/>
      <c r="AF81" s="7"/>
      <c r="AG81" s="7"/>
      <c r="AH81" s="7"/>
      <c r="AI81" s="7"/>
      <c r="AJ81" s="7"/>
      <c r="AK81" s="7"/>
      <c r="AL81" s="7"/>
      <c r="AM81" s="7"/>
      <c r="AN81" s="7"/>
      <c r="AO81" s="7"/>
      <c r="AP81" s="7"/>
      <c r="AQ81" s="3"/>
      <c r="AR81" s="3"/>
    </row>
    <row r="82" spans="1:44" s="1" customFormat="1" ht="45">
      <c r="A82" s="221" t="s">
        <v>674</v>
      </c>
      <c r="B82" s="221" t="s">
        <v>1004</v>
      </c>
      <c r="C82" s="221" t="s">
        <v>660</v>
      </c>
      <c r="D82" s="221" t="s">
        <v>1005</v>
      </c>
      <c r="E82" s="221" t="s">
        <v>660</v>
      </c>
      <c r="F82" s="221" t="s">
        <v>1006</v>
      </c>
      <c r="G82" s="221" t="s">
        <v>660</v>
      </c>
      <c r="H82" s="221"/>
      <c r="I82" s="222"/>
      <c r="J82" s="222"/>
      <c r="K82" s="222"/>
      <c r="L82" s="222"/>
      <c r="M82" s="221" t="s">
        <v>1007</v>
      </c>
      <c r="N82" s="221" t="s">
        <v>660</v>
      </c>
      <c r="O82" s="3"/>
      <c r="P82" s="3"/>
      <c r="Q82" s="3"/>
      <c r="R82" s="3"/>
      <c r="S82" s="3"/>
      <c r="T82" s="3"/>
      <c r="U82" s="3"/>
      <c r="V82" s="7"/>
      <c r="W82" s="7"/>
      <c r="X82" s="7"/>
      <c r="Y82" s="7"/>
      <c r="Z82" s="7"/>
      <c r="AA82" s="7"/>
      <c r="AB82" s="7"/>
      <c r="AC82" s="7"/>
      <c r="AD82" s="7"/>
      <c r="AE82" s="7"/>
      <c r="AF82" s="7"/>
      <c r="AG82" s="7"/>
      <c r="AH82" s="7"/>
      <c r="AI82" s="7"/>
      <c r="AJ82" s="7"/>
      <c r="AK82" s="7"/>
      <c r="AL82" s="7"/>
      <c r="AM82" s="7"/>
      <c r="AN82" s="7"/>
      <c r="AO82" s="7"/>
      <c r="AP82" s="7"/>
      <c r="AQ82" s="3"/>
      <c r="AR82" s="3"/>
    </row>
    <row r="83" spans="1:44" s="1" customFormat="1">
      <c r="A83" s="217">
        <f>X61</f>
        <v>56711634345</v>
      </c>
      <c r="B83" s="217">
        <f>AC61</f>
        <v>17771520610</v>
      </c>
      <c r="C83" s="220">
        <f>A83*B83/100</f>
        <v>1.0078519785889513E+19</v>
      </c>
      <c r="D83" s="217">
        <f>AD61</f>
        <v>8718716884</v>
      </c>
      <c r="E83" s="220">
        <f>A83*D83/100</f>
        <v>4.9445268388298578E+18</v>
      </c>
      <c r="F83" s="217">
        <f>AE49</f>
        <v>0</v>
      </c>
      <c r="G83" s="220">
        <f>A83*F83/100</f>
        <v>0</v>
      </c>
      <c r="H83" s="213"/>
      <c r="I83" s="214"/>
      <c r="J83" s="214"/>
      <c r="K83" s="214"/>
      <c r="L83" s="214"/>
      <c r="M83" s="228">
        <f>AF49</f>
        <v>0</v>
      </c>
      <c r="N83" s="220">
        <f>A83*M83/100</f>
        <v>0</v>
      </c>
      <c r="O83" s="3"/>
      <c r="P83" s="3"/>
      <c r="Q83" s="3"/>
      <c r="R83" s="3"/>
      <c r="S83" s="3"/>
      <c r="T83" s="3"/>
      <c r="U83" s="3"/>
      <c r="V83" s="7"/>
      <c r="W83" s="7"/>
      <c r="X83" s="7"/>
      <c r="Y83" s="7"/>
      <c r="Z83" s="7"/>
      <c r="AA83" s="7"/>
      <c r="AB83" s="7"/>
      <c r="AC83" s="7"/>
      <c r="AD83" s="7"/>
      <c r="AE83" s="7"/>
      <c r="AF83" s="7"/>
      <c r="AG83" s="7"/>
      <c r="AH83" s="7"/>
      <c r="AI83" s="7"/>
      <c r="AJ83" s="7"/>
      <c r="AK83" s="7"/>
      <c r="AL83" s="7"/>
      <c r="AM83" s="7"/>
      <c r="AN83" s="7"/>
      <c r="AO83" s="7"/>
      <c r="AP83" s="7"/>
      <c r="AQ83" s="3"/>
      <c r="AR83" s="3"/>
    </row>
    <row r="84" spans="1:44" s="1" customFormat="1">
      <c r="A84" s="213"/>
      <c r="B84" s="213"/>
      <c r="C84" s="213"/>
      <c r="D84" s="213"/>
      <c r="E84" s="213"/>
      <c r="F84" s="213"/>
      <c r="G84" s="213"/>
      <c r="H84" s="213"/>
      <c r="I84" s="214"/>
      <c r="J84" s="214"/>
      <c r="K84" s="214"/>
      <c r="L84" s="214"/>
      <c r="M84" s="215"/>
      <c r="N84" s="213"/>
      <c r="O84" s="3"/>
      <c r="P84" s="3"/>
      <c r="Q84" s="3"/>
      <c r="R84" s="3"/>
      <c r="S84" s="3"/>
      <c r="T84" s="3"/>
      <c r="U84" s="3"/>
      <c r="V84" s="7"/>
      <c r="W84" s="7"/>
      <c r="X84" s="7"/>
      <c r="Y84" s="7"/>
      <c r="Z84" s="7"/>
      <c r="AA84" s="7"/>
      <c r="AB84" s="7"/>
      <c r="AC84" s="7"/>
      <c r="AD84" s="7"/>
      <c r="AE84" s="7"/>
      <c r="AF84" s="7"/>
      <c r="AG84" s="7"/>
      <c r="AH84" s="7"/>
      <c r="AI84" s="7"/>
      <c r="AJ84" s="7"/>
      <c r="AK84" s="7"/>
      <c r="AL84" s="7"/>
      <c r="AM84" s="7"/>
      <c r="AN84" s="7"/>
      <c r="AO84" s="7"/>
      <c r="AP84" s="7"/>
      <c r="AQ84" s="3"/>
      <c r="AR84" s="3"/>
    </row>
    <row r="85" spans="1:44" s="1" customFormat="1" ht="15" customHeight="1">
      <c r="A85" s="3"/>
      <c r="B85" s="3"/>
      <c r="C85" s="3"/>
      <c r="D85" s="3"/>
      <c r="E85" s="3"/>
      <c r="F85" s="3"/>
      <c r="G85" s="3"/>
      <c r="H85" s="3"/>
      <c r="M85" s="5"/>
      <c r="N85" s="3"/>
      <c r="O85" s="3"/>
      <c r="P85" s="3"/>
      <c r="Q85" s="3"/>
      <c r="R85" s="3"/>
      <c r="S85" s="3"/>
      <c r="T85" s="3"/>
      <c r="U85" s="3"/>
      <c r="V85" s="7"/>
      <c r="W85" s="7"/>
      <c r="X85" s="7"/>
      <c r="Y85" s="7"/>
      <c r="Z85" s="7"/>
      <c r="AA85" s="7"/>
      <c r="AB85" s="7"/>
      <c r="AC85" s="7"/>
      <c r="AD85" s="7"/>
      <c r="AE85" s="7"/>
      <c r="AF85" s="7"/>
      <c r="AG85" s="7"/>
      <c r="AH85" s="7"/>
      <c r="AI85" s="7"/>
      <c r="AJ85" s="7"/>
      <c r="AK85" s="7"/>
      <c r="AL85" s="7"/>
      <c r="AM85" s="7"/>
      <c r="AN85" s="7"/>
      <c r="AO85" s="7"/>
      <c r="AP85" s="7"/>
      <c r="AQ85" s="3"/>
      <c r="AR85" s="3"/>
    </row>
    <row r="86" spans="1:44" s="1" customFormat="1" ht="15">
      <c r="A86" s="1108" t="s">
        <v>1008</v>
      </c>
      <c r="B86" s="1108"/>
      <c r="C86" s="1108"/>
      <c r="D86" s="1108"/>
      <c r="E86" s="1108"/>
      <c r="F86" s="1108"/>
      <c r="G86" s="1108"/>
      <c r="H86" s="1108"/>
      <c r="I86" s="1108"/>
      <c r="J86" s="1108"/>
      <c r="K86" s="1108"/>
      <c r="L86" s="1108"/>
      <c r="M86" s="1108"/>
      <c r="N86" s="1108"/>
      <c r="O86" s="1108"/>
      <c r="P86" s="3"/>
      <c r="Q86" s="3"/>
      <c r="R86" s="3"/>
      <c r="S86" s="3"/>
      <c r="T86" s="3"/>
      <c r="U86" s="3"/>
      <c r="V86" s="7"/>
      <c r="W86" s="7"/>
      <c r="X86" s="7"/>
      <c r="Y86" s="7"/>
      <c r="Z86" s="7"/>
      <c r="AA86" s="7"/>
      <c r="AB86" s="7"/>
      <c r="AC86" s="7"/>
      <c r="AD86" s="7"/>
      <c r="AE86" s="7"/>
      <c r="AF86" s="7"/>
      <c r="AG86" s="7"/>
      <c r="AH86" s="7"/>
      <c r="AI86" s="7"/>
      <c r="AJ86" s="7"/>
      <c r="AK86" s="7"/>
      <c r="AL86" s="7"/>
      <c r="AM86" s="7"/>
      <c r="AN86" s="7"/>
      <c r="AO86" s="7"/>
      <c r="AP86" s="7"/>
      <c r="AQ86" s="3"/>
      <c r="AR86" s="3"/>
    </row>
    <row r="87" spans="1:44" s="1" customFormat="1" ht="90">
      <c r="A87" s="223" t="s">
        <v>996</v>
      </c>
      <c r="B87" s="224" t="s">
        <v>997</v>
      </c>
      <c r="C87" s="224" t="s">
        <v>998</v>
      </c>
      <c r="D87" s="224" t="s">
        <v>660</v>
      </c>
      <c r="E87" s="224" t="s">
        <v>999</v>
      </c>
      <c r="F87" s="224" t="s">
        <v>660</v>
      </c>
      <c r="G87" s="224" t="s">
        <v>1000</v>
      </c>
      <c r="H87" s="224" t="s">
        <v>660</v>
      </c>
      <c r="I87" s="224"/>
      <c r="J87" s="225"/>
      <c r="K87" s="225"/>
      <c r="L87" s="225"/>
      <c r="M87" s="224" t="s">
        <v>660</v>
      </c>
      <c r="N87" s="224" t="s">
        <v>1001</v>
      </c>
      <c r="O87" s="224" t="s">
        <v>660</v>
      </c>
      <c r="P87" s="3"/>
      <c r="Q87" s="3"/>
      <c r="R87" s="3"/>
      <c r="S87" s="3"/>
      <c r="T87" s="3"/>
      <c r="U87" s="3"/>
      <c r="V87" s="7"/>
      <c r="W87" s="7"/>
      <c r="X87" s="7"/>
      <c r="Y87" s="7"/>
      <c r="Z87" s="7"/>
      <c r="AA87" s="7"/>
      <c r="AB87" s="7"/>
      <c r="AC87" s="7"/>
      <c r="AD87" s="7"/>
      <c r="AE87" s="7"/>
      <c r="AF87" s="7"/>
      <c r="AG87" s="7"/>
      <c r="AH87" s="7"/>
      <c r="AI87" s="7"/>
      <c r="AJ87" s="7"/>
      <c r="AK87" s="7"/>
      <c r="AL87" s="7"/>
      <c r="AM87" s="7"/>
      <c r="AN87" s="7"/>
      <c r="AO87" s="7"/>
      <c r="AP87" s="7"/>
      <c r="AQ87" s="3"/>
      <c r="AR87" s="3"/>
    </row>
    <row r="88" spans="1:44" s="1" customFormat="1">
      <c r="A88" s="213" t="s">
        <v>1002</v>
      </c>
      <c r="B88" s="213">
        <f>N72</f>
        <v>7</v>
      </c>
      <c r="C88" s="213">
        <f>Y72</f>
        <v>0</v>
      </c>
      <c r="D88" s="220">
        <f>B88*C88/100</f>
        <v>0</v>
      </c>
      <c r="E88" s="213">
        <f>Z72</f>
        <v>0</v>
      </c>
      <c r="F88" s="220">
        <f>B88*E88/100</f>
        <v>0</v>
      </c>
      <c r="G88" s="213">
        <f>AA72</f>
        <v>0</v>
      </c>
      <c r="H88" s="213"/>
      <c r="I88" s="214"/>
      <c r="J88" s="214"/>
      <c r="K88" s="214"/>
      <c r="L88" s="214"/>
      <c r="M88" s="220">
        <f>B88*G88/100</f>
        <v>0</v>
      </c>
      <c r="N88" s="213">
        <f>AB72</f>
        <v>0</v>
      </c>
      <c r="O88" s="220">
        <f>B88*N88/100</f>
        <v>0</v>
      </c>
      <c r="P88" s="3"/>
      <c r="Q88" s="3"/>
      <c r="R88" s="3"/>
      <c r="S88" s="3"/>
      <c r="T88" s="3"/>
      <c r="U88" s="3"/>
      <c r="V88" s="7"/>
      <c r="W88" s="7"/>
      <c r="X88" s="7"/>
      <c r="Y88" s="7"/>
      <c r="Z88" s="7"/>
      <c r="AA88" s="7"/>
      <c r="AB88" s="7"/>
      <c r="AC88" s="7"/>
      <c r="AD88" s="7"/>
      <c r="AE88" s="7"/>
      <c r="AF88" s="7"/>
      <c r="AG88" s="7"/>
      <c r="AH88" s="7"/>
      <c r="AI88" s="7"/>
      <c r="AJ88" s="7"/>
      <c r="AK88" s="7"/>
      <c r="AL88" s="7"/>
      <c r="AM88" s="7"/>
      <c r="AN88" s="7"/>
      <c r="AO88" s="7"/>
      <c r="AP88" s="7"/>
      <c r="AQ88" s="3"/>
      <c r="AR88" s="3"/>
    </row>
    <row r="89" spans="1:44" s="1" customFormat="1">
      <c r="A89" s="213" t="s">
        <v>93</v>
      </c>
      <c r="B89" s="220">
        <v>1</v>
      </c>
      <c r="C89" s="220">
        <f>Y73</f>
        <v>0</v>
      </c>
      <c r="D89" s="220">
        <v>0</v>
      </c>
      <c r="E89" s="220">
        <f>Z73</f>
        <v>0</v>
      </c>
      <c r="F89" s="220">
        <f>B89*E89/100</f>
        <v>0</v>
      </c>
      <c r="G89" s="220">
        <f>AA73</f>
        <v>0</v>
      </c>
      <c r="H89" s="213"/>
      <c r="I89" s="214"/>
      <c r="J89" s="214"/>
      <c r="K89" s="214"/>
      <c r="L89" s="214"/>
      <c r="M89" s="220">
        <f>B89*G89/100</f>
        <v>0</v>
      </c>
      <c r="N89" s="220">
        <f>AB73</f>
        <v>0</v>
      </c>
      <c r="O89" s="220">
        <f>B89*N89/100</f>
        <v>0</v>
      </c>
      <c r="P89" s="3"/>
      <c r="Q89" s="3"/>
      <c r="R89" s="3"/>
      <c r="S89" s="3"/>
      <c r="T89" s="3"/>
      <c r="U89" s="3"/>
      <c r="V89" s="7"/>
      <c r="W89" s="7"/>
      <c r="X89" s="7"/>
      <c r="Y89" s="7"/>
      <c r="Z89" s="7"/>
      <c r="AA89" s="7"/>
      <c r="AB89" s="7"/>
      <c r="AC89" s="7"/>
      <c r="AD89" s="7"/>
      <c r="AE89" s="7"/>
      <c r="AF89" s="7"/>
      <c r="AG89" s="7"/>
      <c r="AH89" s="7"/>
      <c r="AI89" s="7"/>
      <c r="AJ89" s="7"/>
      <c r="AK89" s="7"/>
      <c r="AL89" s="7"/>
      <c r="AM89" s="7"/>
      <c r="AN89" s="7"/>
      <c r="AO89" s="7"/>
      <c r="AP89" s="7"/>
      <c r="AQ89" s="3"/>
      <c r="AR89" s="3"/>
    </row>
    <row r="90" spans="1:44" s="1" customFormat="1" ht="15" customHeight="1">
      <c r="A90" s="3"/>
      <c r="B90" s="3"/>
      <c r="C90" s="3"/>
      <c r="D90" s="3"/>
      <c r="E90" s="3"/>
      <c r="F90" s="3"/>
      <c r="G90" s="3"/>
      <c r="H90" s="3"/>
      <c r="M90" s="5"/>
      <c r="N90" s="3"/>
      <c r="O90" s="3"/>
      <c r="P90" s="3"/>
      <c r="Q90" s="3"/>
      <c r="R90" s="3"/>
      <c r="S90" s="3"/>
      <c r="T90" s="3"/>
      <c r="U90" s="3"/>
      <c r="V90" s="7"/>
      <c r="W90" s="7"/>
      <c r="X90" s="7"/>
      <c r="Y90" s="7"/>
      <c r="Z90" s="7"/>
      <c r="AA90" s="7"/>
      <c r="AB90" s="7"/>
      <c r="AC90" s="7"/>
      <c r="AD90" s="7"/>
      <c r="AE90" s="7"/>
      <c r="AF90" s="7"/>
      <c r="AG90" s="7"/>
      <c r="AH90" s="7"/>
      <c r="AI90" s="7"/>
      <c r="AJ90" s="7"/>
      <c r="AK90" s="7"/>
      <c r="AL90" s="7"/>
      <c r="AM90" s="7"/>
      <c r="AN90" s="7"/>
      <c r="AO90" s="7"/>
      <c r="AP90" s="7"/>
      <c r="AQ90" s="3"/>
      <c r="AR90" s="3"/>
    </row>
    <row r="91" spans="1:44" s="1" customFormat="1" ht="15">
      <c r="A91" s="1109" t="s">
        <v>1009</v>
      </c>
      <c r="B91" s="1109"/>
      <c r="C91" s="1109"/>
      <c r="D91" s="1109"/>
      <c r="E91" s="1109"/>
      <c r="F91" s="1109"/>
      <c r="G91" s="1109"/>
      <c r="H91" s="1109"/>
      <c r="I91" s="1109"/>
      <c r="J91" s="1109"/>
      <c r="K91" s="1109"/>
      <c r="L91" s="1109"/>
      <c r="M91" s="1109"/>
      <c r="N91" s="1109"/>
      <c r="O91" s="3"/>
      <c r="P91" s="3"/>
      <c r="Q91" s="3"/>
      <c r="R91" s="3"/>
      <c r="S91" s="3"/>
      <c r="T91" s="3"/>
      <c r="U91" s="3"/>
      <c r="V91" s="7"/>
      <c r="W91" s="7"/>
      <c r="X91" s="7"/>
      <c r="Y91" s="7"/>
      <c r="Z91" s="7"/>
      <c r="AA91" s="7"/>
      <c r="AB91" s="7"/>
      <c r="AC91" s="7"/>
      <c r="AD91" s="7"/>
      <c r="AE91" s="7"/>
      <c r="AF91" s="7"/>
      <c r="AG91" s="7"/>
      <c r="AH91" s="7"/>
      <c r="AI91" s="7"/>
      <c r="AJ91" s="7"/>
      <c r="AK91" s="7"/>
      <c r="AL91" s="7"/>
      <c r="AM91" s="7"/>
      <c r="AN91" s="7"/>
      <c r="AO91" s="7"/>
      <c r="AP91" s="7"/>
      <c r="AQ91" s="3"/>
      <c r="AR91" s="3"/>
    </row>
    <row r="92" spans="1:44" s="1" customFormat="1" ht="45">
      <c r="A92" s="221" t="s">
        <v>674</v>
      </c>
      <c r="B92" s="221" t="s">
        <v>1004</v>
      </c>
      <c r="C92" s="221" t="s">
        <v>660</v>
      </c>
      <c r="D92" s="221" t="s">
        <v>1005</v>
      </c>
      <c r="E92" s="221" t="s">
        <v>660</v>
      </c>
      <c r="F92" s="221" t="s">
        <v>1006</v>
      </c>
      <c r="G92" s="221" t="s">
        <v>660</v>
      </c>
      <c r="H92" s="221"/>
      <c r="I92" s="222"/>
      <c r="J92" s="222"/>
      <c r="K92" s="222"/>
      <c r="L92" s="222"/>
      <c r="M92" s="221" t="s">
        <v>1007</v>
      </c>
      <c r="N92" s="221" t="s">
        <v>660</v>
      </c>
      <c r="O92" s="3"/>
      <c r="P92" s="3"/>
      <c r="Q92" s="3"/>
      <c r="R92" s="3"/>
      <c r="S92" s="3"/>
      <c r="T92" s="3"/>
      <c r="U92" s="3"/>
      <c r="V92" s="7"/>
      <c r="W92" s="7"/>
      <c r="X92" s="7"/>
      <c r="Y92" s="7"/>
      <c r="Z92" s="7"/>
      <c r="AA92" s="7"/>
      <c r="AB92" s="7"/>
      <c r="AC92" s="7"/>
      <c r="AD92" s="7"/>
      <c r="AE92" s="7"/>
      <c r="AF92" s="7"/>
      <c r="AG92" s="7"/>
      <c r="AH92" s="7"/>
      <c r="AI92" s="7"/>
      <c r="AJ92" s="7"/>
      <c r="AK92" s="7"/>
      <c r="AL92" s="7"/>
      <c r="AM92" s="7"/>
      <c r="AN92" s="7"/>
      <c r="AO92" s="7"/>
      <c r="AP92" s="7"/>
      <c r="AQ92" s="3"/>
      <c r="AR92" s="3"/>
    </row>
    <row r="93" spans="1:44" s="1" customFormat="1" ht="15">
      <c r="A93" s="226">
        <f>X71</f>
        <v>400000000</v>
      </c>
      <c r="B93" s="226">
        <f>AC71</f>
        <v>133808605</v>
      </c>
      <c r="C93" s="261">
        <f>A93*B93/100</f>
        <v>535234420000000</v>
      </c>
      <c r="D93" s="226">
        <f>AD71</f>
        <v>63501578</v>
      </c>
      <c r="E93" s="262">
        <f>A93*D93/100</f>
        <v>254006312000000</v>
      </c>
      <c r="F93" s="226">
        <f>AE71</f>
        <v>0</v>
      </c>
      <c r="G93" s="262">
        <f>A93*F93/100</f>
        <v>0</v>
      </c>
      <c r="H93" s="216"/>
      <c r="I93" s="227"/>
      <c r="J93" s="227"/>
      <c r="K93" s="227"/>
      <c r="L93" s="227"/>
      <c r="M93" s="229">
        <f>AF71</f>
        <v>0</v>
      </c>
      <c r="N93" s="262">
        <f>A93*M93/100</f>
        <v>0</v>
      </c>
      <c r="O93" s="3"/>
      <c r="P93" s="3"/>
      <c r="Q93" s="3"/>
      <c r="R93" s="3"/>
      <c r="S93" s="3"/>
      <c r="T93" s="3"/>
      <c r="U93" s="3"/>
      <c r="V93" s="7"/>
      <c r="W93" s="7"/>
      <c r="X93" s="7"/>
      <c r="Y93" s="7"/>
      <c r="Z93" s="7"/>
      <c r="AA93" s="7"/>
      <c r="AB93" s="7"/>
      <c r="AC93" s="7"/>
      <c r="AD93" s="7"/>
      <c r="AE93" s="7"/>
      <c r="AF93" s="7"/>
      <c r="AG93" s="7"/>
      <c r="AH93" s="7"/>
      <c r="AI93" s="7"/>
      <c r="AJ93" s="7"/>
      <c r="AK93" s="7"/>
      <c r="AL93" s="7"/>
      <c r="AM93" s="7"/>
      <c r="AN93" s="7"/>
      <c r="AO93" s="7"/>
      <c r="AP93" s="7"/>
      <c r="AQ93" s="3"/>
      <c r="AR93" s="3"/>
    </row>
    <row r="94" spans="1:44" s="1" customFormat="1">
      <c r="A94" s="213"/>
      <c r="B94" s="213"/>
      <c r="C94" s="213"/>
      <c r="D94" s="213"/>
      <c r="E94" s="213"/>
      <c r="F94" s="213"/>
      <c r="G94" s="213"/>
      <c r="H94" s="213"/>
      <c r="I94" s="214"/>
      <c r="J94" s="214"/>
      <c r="K94" s="214"/>
      <c r="L94" s="214"/>
      <c r="M94" s="215"/>
      <c r="N94" s="213"/>
      <c r="O94" s="3"/>
      <c r="P94" s="3"/>
      <c r="Q94" s="3"/>
      <c r="R94" s="3"/>
      <c r="S94" s="3"/>
      <c r="T94" s="3"/>
      <c r="U94" s="3"/>
      <c r="V94" s="7"/>
      <c r="W94" s="7"/>
      <c r="X94" s="7"/>
      <c r="Y94" s="7"/>
      <c r="Z94" s="7"/>
      <c r="AA94" s="7"/>
      <c r="AB94" s="7"/>
      <c r="AC94" s="7"/>
      <c r="AD94" s="7"/>
      <c r="AE94" s="7"/>
      <c r="AF94" s="7"/>
      <c r="AG94" s="7"/>
      <c r="AH94" s="7"/>
      <c r="AI94" s="7"/>
      <c r="AJ94" s="7"/>
      <c r="AK94" s="7"/>
      <c r="AL94" s="7"/>
      <c r="AM94" s="7"/>
      <c r="AN94" s="7"/>
      <c r="AO94" s="7"/>
      <c r="AP94" s="7"/>
      <c r="AQ94" s="3"/>
      <c r="AR94" s="3"/>
    </row>
    <row r="95" spans="1:44" s="1" customFormat="1">
      <c r="A95" s="3"/>
      <c r="B95" s="3"/>
      <c r="C95" s="3"/>
      <c r="D95" s="3"/>
      <c r="E95" s="3"/>
      <c r="F95" s="3"/>
      <c r="G95" s="3"/>
      <c r="H95" s="3"/>
      <c r="M95" s="5"/>
      <c r="N95" s="3"/>
      <c r="O95" s="3"/>
      <c r="P95" s="3"/>
      <c r="Q95" s="3"/>
      <c r="R95" s="3"/>
      <c r="S95" s="3"/>
      <c r="T95" s="3"/>
      <c r="U95" s="3"/>
      <c r="V95" s="7"/>
      <c r="W95" s="7"/>
      <c r="X95" s="7"/>
      <c r="Y95" s="7"/>
      <c r="Z95" s="7"/>
      <c r="AA95" s="7"/>
      <c r="AB95" s="7"/>
      <c r="AC95" s="7"/>
      <c r="AD95" s="7"/>
      <c r="AE95" s="7"/>
      <c r="AF95" s="7"/>
      <c r="AG95" s="7"/>
      <c r="AH95" s="7"/>
      <c r="AI95" s="7"/>
      <c r="AJ95" s="7"/>
      <c r="AK95" s="7"/>
      <c r="AL95" s="7"/>
      <c r="AM95" s="7"/>
      <c r="AN95" s="7"/>
      <c r="AO95" s="7"/>
      <c r="AP95" s="7"/>
      <c r="AQ95" s="3"/>
      <c r="AR95" s="3"/>
    </row>
    <row r="96" spans="1:44" s="1" customFormat="1" ht="15" customHeight="1">
      <c r="A96" s="3"/>
      <c r="B96" s="3"/>
      <c r="C96" s="3"/>
      <c r="D96" s="3"/>
      <c r="E96" s="3"/>
      <c r="F96" s="3"/>
      <c r="G96" s="3"/>
      <c r="H96" s="3"/>
      <c r="I96" s="2"/>
      <c r="J96" s="2"/>
      <c r="K96" s="2"/>
      <c r="L96" s="2"/>
      <c r="M96" s="5"/>
      <c r="N96" s="3"/>
      <c r="O96" s="3"/>
      <c r="P96" s="3"/>
      <c r="Q96" s="3"/>
      <c r="R96" s="3"/>
      <c r="S96" s="3"/>
      <c r="T96" s="3"/>
      <c r="U96" s="3"/>
      <c r="V96" s="7"/>
      <c r="W96" s="7"/>
      <c r="X96" s="7"/>
      <c r="Y96" s="7"/>
      <c r="Z96" s="7"/>
      <c r="AA96" s="7"/>
      <c r="AB96" s="7"/>
      <c r="AC96" s="7"/>
      <c r="AD96" s="7"/>
      <c r="AE96" s="7"/>
      <c r="AF96" s="7"/>
      <c r="AG96" s="7"/>
      <c r="AH96" s="7"/>
      <c r="AI96" s="7"/>
      <c r="AJ96" s="7"/>
      <c r="AK96" s="7"/>
      <c r="AL96" s="7"/>
      <c r="AM96" s="7"/>
      <c r="AN96" s="7"/>
      <c r="AO96" s="7"/>
      <c r="AP96" s="7"/>
      <c r="AQ96" s="3"/>
      <c r="AR96" s="3"/>
    </row>
    <row r="97" spans="1:15" ht="15">
      <c r="A97" s="1108" t="s">
        <v>1012</v>
      </c>
      <c r="B97" s="1108"/>
      <c r="C97" s="1108"/>
      <c r="D97" s="1108"/>
      <c r="E97" s="1108"/>
      <c r="F97" s="1108"/>
      <c r="G97" s="1108"/>
      <c r="H97" s="1108"/>
      <c r="I97" s="1108"/>
      <c r="J97" s="1108"/>
      <c r="K97" s="1108"/>
      <c r="L97" s="1108"/>
      <c r="M97" s="1108"/>
      <c r="N97" s="1108"/>
      <c r="O97" s="1108"/>
    </row>
    <row r="98" spans="1:15" ht="90">
      <c r="A98" s="223" t="s">
        <v>996</v>
      </c>
      <c r="B98" s="224" t="s">
        <v>997</v>
      </c>
      <c r="C98" s="224" t="s">
        <v>998</v>
      </c>
      <c r="D98" s="224" t="s">
        <v>660</v>
      </c>
      <c r="E98" s="224" t="s">
        <v>999</v>
      </c>
      <c r="F98" s="224" t="s">
        <v>660</v>
      </c>
      <c r="G98" s="224" t="s">
        <v>1000</v>
      </c>
      <c r="H98" s="224" t="s">
        <v>660</v>
      </c>
      <c r="I98" s="224"/>
      <c r="J98" s="225"/>
      <c r="K98" s="225"/>
      <c r="L98" s="225"/>
      <c r="M98" s="224" t="s">
        <v>660</v>
      </c>
      <c r="N98" s="224" t="s">
        <v>1001</v>
      </c>
      <c r="O98" s="224" t="s">
        <v>660</v>
      </c>
    </row>
    <row r="99" spans="1:15">
      <c r="A99" s="213" t="s">
        <v>1002</v>
      </c>
      <c r="B99" s="213">
        <f>B88+B78</f>
        <v>11289</v>
      </c>
      <c r="C99" s="213">
        <f>C88+C78</f>
        <v>0</v>
      </c>
      <c r="D99" s="220">
        <f>B99*C99/100</f>
        <v>0</v>
      </c>
      <c r="E99" s="213">
        <f>E88+E78</f>
        <v>0</v>
      </c>
      <c r="F99" s="220">
        <f>B99*E99/100</f>
        <v>0</v>
      </c>
      <c r="G99" s="213">
        <f>G88+G78</f>
        <v>0</v>
      </c>
      <c r="H99" s="213"/>
      <c r="I99" s="214"/>
      <c r="J99" s="214"/>
      <c r="K99" s="214"/>
      <c r="L99" s="214"/>
      <c r="M99" s="220">
        <f>B99*G99/100</f>
        <v>0</v>
      </c>
      <c r="N99" s="213">
        <f>N88+N78</f>
        <v>0</v>
      </c>
      <c r="O99" s="220">
        <f>B99*N99/100</f>
        <v>0</v>
      </c>
    </row>
    <row r="100" spans="1:15">
      <c r="A100" s="213" t="s">
        <v>93</v>
      </c>
      <c r="B100" s="220">
        <v>1</v>
      </c>
      <c r="C100" s="220">
        <f>C89+C79</f>
        <v>0</v>
      </c>
      <c r="D100" s="220">
        <f>B100*C100/100</f>
        <v>0</v>
      </c>
      <c r="E100" s="220">
        <f>E89+E79</f>
        <v>0</v>
      </c>
      <c r="F100" s="220">
        <f>B100*E100/100</f>
        <v>0</v>
      </c>
      <c r="G100" s="220">
        <f>G89+G79</f>
        <v>0</v>
      </c>
      <c r="H100" s="213"/>
      <c r="I100" s="214"/>
      <c r="J100" s="214"/>
      <c r="K100" s="214"/>
      <c r="L100" s="214"/>
      <c r="M100" s="220">
        <f>B100*G100/100</f>
        <v>0</v>
      </c>
      <c r="N100" s="220">
        <f>N89+N79</f>
        <v>0</v>
      </c>
      <c r="O100" s="220">
        <f>B100*N100/100</f>
        <v>0</v>
      </c>
    </row>
    <row r="101" spans="1:15" ht="15" customHeight="1">
      <c r="I101" s="1"/>
      <c r="J101" s="1"/>
      <c r="K101" s="1"/>
      <c r="L101" s="1"/>
    </row>
    <row r="102" spans="1:15" ht="15">
      <c r="A102" s="1109" t="s">
        <v>1011</v>
      </c>
      <c r="B102" s="1109"/>
      <c r="C102" s="1109"/>
      <c r="D102" s="1109"/>
      <c r="E102" s="1109"/>
      <c r="F102" s="1109"/>
      <c r="G102" s="1109"/>
      <c r="H102" s="1109"/>
      <c r="I102" s="1109"/>
      <c r="J102" s="1109"/>
      <c r="K102" s="1109"/>
      <c r="L102" s="1109"/>
      <c r="M102" s="1109"/>
      <c r="N102" s="1109"/>
    </row>
    <row r="103" spans="1:15" ht="45">
      <c r="A103" s="221" t="s">
        <v>674</v>
      </c>
      <c r="B103" s="221" t="s">
        <v>1004</v>
      </c>
      <c r="C103" s="221" t="s">
        <v>660</v>
      </c>
      <c r="D103" s="221" t="s">
        <v>1005</v>
      </c>
      <c r="E103" s="221" t="s">
        <v>660</v>
      </c>
      <c r="F103" s="221" t="s">
        <v>1006</v>
      </c>
      <c r="G103" s="221" t="s">
        <v>660</v>
      </c>
      <c r="H103" s="221"/>
      <c r="I103" s="222"/>
      <c r="J103" s="222"/>
      <c r="K103" s="222"/>
      <c r="L103" s="222"/>
      <c r="M103" s="221" t="s">
        <v>1007</v>
      </c>
      <c r="N103" s="221" t="s">
        <v>660</v>
      </c>
    </row>
    <row r="104" spans="1:15" ht="15">
      <c r="A104" s="226">
        <f>A93+A83</f>
        <v>57111634345</v>
      </c>
      <c r="B104" s="217">
        <f>B93+B83</f>
        <v>17905329215</v>
      </c>
      <c r="C104" s="218">
        <f>A104*B104/100</f>
        <v>1.0226026149539258E+19</v>
      </c>
      <c r="D104" s="217">
        <f>D93+D83</f>
        <v>8782218462</v>
      </c>
      <c r="E104" s="220">
        <f>A104*D104</f>
        <v>5.0156684953965226E+20</v>
      </c>
      <c r="F104" s="217">
        <f>F93+F83</f>
        <v>0</v>
      </c>
      <c r="G104" s="220">
        <f>A104*F104/100</f>
        <v>0</v>
      </c>
      <c r="H104" s="213"/>
      <c r="I104" s="214"/>
      <c r="J104" s="214"/>
      <c r="K104" s="214"/>
      <c r="L104" s="214"/>
      <c r="M104" s="228">
        <f>M93+M83</f>
        <v>0</v>
      </c>
      <c r="N104" s="220">
        <f>A104*M104/100</f>
        <v>0</v>
      </c>
    </row>
    <row r="105" spans="1:15">
      <c r="A105" s="213"/>
      <c r="B105" s="213"/>
      <c r="C105" s="213"/>
      <c r="D105" s="213"/>
      <c r="E105" s="213"/>
      <c r="F105" s="213"/>
      <c r="G105" s="213"/>
      <c r="H105" s="213"/>
      <c r="I105" s="214"/>
      <c r="J105" s="214"/>
      <c r="K105" s="214"/>
      <c r="L105" s="214"/>
      <c r="M105" s="215"/>
      <c r="N105" s="213"/>
    </row>
  </sheetData>
  <mergeCells count="123">
    <mergeCell ref="A97:O97"/>
    <mergeCell ref="A102:N102"/>
    <mergeCell ref="AF72:AF73"/>
    <mergeCell ref="AG72:AG73"/>
    <mergeCell ref="AH72:AH73"/>
    <mergeCell ref="AI72:AI73"/>
    <mergeCell ref="AJ72:AJ73"/>
    <mergeCell ref="A76:O76"/>
    <mergeCell ref="AC61:AC62"/>
    <mergeCell ref="V72:V73"/>
    <mergeCell ref="X72:X73"/>
    <mergeCell ref="AC72:AC73"/>
    <mergeCell ref="AD72:AD73"/>
    <mergeCell ref="AE72:AE73"/>
    <mergeCell ref="A72:M73"/>
    <mergeCell ref="A81:N81"/>
    <mergeCell ref="A86:O86"/>
    <mergeCell ref="A91:N91"/>
    <mergeCell ref="A63:A71"/>
    <mergeCell ref="B63:B71"/>
    <mergeCell ref="G63:G65"/>
    <mergeCell ref="G66:G67"/>
    <mergeCell ref="C67:C68"/>
    <mergeCell ref="D67:D68"/>
    <mergeCell ref="E67:E68"/>
    <mergeCell ref="C52:C60"/>
    <mergeCell ref="D52:D60"/>
    <mergeCell ref="E52:E60"/>
    <mergeCell ref="F52:F60"/>
    <mergeCell ref="A61:M62"/>
    <mergeCell ref="U9:U11"/>
    <mergeCell ref="V9:V11"/>
    <mergeCell ref="G40:G42"/>
    <mergeCell ref="C49:C51"/>
    <mergeCell ref="A8:A60"/>
    <mergeCell ref="B8:B60"/>
    <mergeCell ref="C8:C19"/>
    <mergeCell ref="D8:D19"/>
    <mergeCell ref="E8:E19"/>
    <mergeCell ref="F8:F19"/>
    <mergeCell ref="G34:G36"/>
    <mergeCell ref="L9:L19"/>
    <mergeCell ref="T9:T11"/>
    <mergeCell ref="F24:F51"/>
    <mergeCell ref="K24:K51"/>
    <mergeCell ref="L24:L51"/>
    <mergeCell ref="G26:G27"/>
    <mergeCell ref="C27:C48"/>
    <mergeCell ref="X9:X11"/>
    <mergeCell ref="G37:G39"/>
    <mergeCell ref="G8:G11"/>
    <mergeCell ref="AS67:AS71"/>
    <mergeCell ref="G68:G70"/>
    <mergeCell ref="G52:G55"/>
    <mergeCell ref="V52:V55"/>
    <mergeCell ref="V61:V62"/>
    <mergeCell ref="X61:X62"/>
    <mergeCell ref="AH61:AH62"/>
    <mergeCell ref="AG61:AG62"/>
    <mergeCell ref="AF61:AF62"/>
    <mergeCell ref="AE61:AE62"/>
    <mergeCell ref="AD61:AD62"/>
    <mergeCell ref="AS9:AS63"/>
    <mergeCell ref="G28:G30"/>
    <mergeCell ref="G31:G33"/>
    <mergeCell ref="G49:G50"/>
    <mergeCell ref="G12:G14"/>
    <mergeCell ref="T12:T14"/>
    <mergeCell ref="G15:G18"/>
    <mergeCell ref="T15:T18"/>
    <mergeCell ref="G19:G22"/>
    <mergeCell ref="G23:G25"/>
    <mergeCell ref="A1:AR1"/>
    <mergeCell ref="AT1:AX1"/>
    <mergeCell ref="A2:AR2"/>
    <mergeCell ref="A5:AR5"/>
    <mergeCell ref="A6:B6"/>
    <mergeCell ref="C6:E6"/>
    <mergeCell ref="G6:J6"/>
    <mergeCell ref="K6:K7"/>
    <mergeCell ref="L6:L7"/>
    <mergeCell ref="M6:M7"/>
    <mergeCell ref="N6:N7"/>
    <mergeCell ref="O6:O7"/>
    <mergeCell ref="P6:P7"/>
    <mergeCell ref="B3:AR3"/>
    <mergeCell ref="A4:AR4"/>
    <mergeCell ref="AR6:AR7"/>
    <mergeCell ref="Q6:Q7"/>
    <mergeCell ref="R6:R7"/>
    <mergeCell ref="AE32:AE51"/>
    <mergeCell ref="AF32:AF51"/>
    <mergeCell ref="AG32:AG51"/>
    <mergeCell ref="D27:D48"/>
    <mergeCell ref="E27:E48"/>
    <mergeCell ref="G43:G45"/>
    <mergeCell ref="G46:G48"/>
    <mergeCell ref="D49:D51"/>
    <mergeCell ref="E49:E51"/>
    <mergeCell ref="AH32:AH51"/>
    <mergeCell ref="X52:X55"/>
    <mergeCell ref="W61:W62"/>
    <mergeCell ref="S6:S7"/>
    <mergeCell ref="T6:X6"/>
    <mergeCell ref="Y6:AE6"/>
    <mergeCell ref="AQ6:AQ7"/>
    <mergeCell ref="W52:W55"/>
    <mergeCell ref="AH9:AH11"/>
    <mergeCell ref="V12:V31"/>
    <mergeCell ref="V32:V51"/>
    <mergeCell ref="W12:W31"/>
    <mergeCell ref="X12:X31"/>
    <mergeCell ref="W32:W51"/>
    <mergeCell ref="X32:X51"/>
    <mergeCell ref="AH52:AH55"/>
    <mergeCell ref="AC12:AC31"/>
    <mergeCell ref="AD12:AD31"/>
    <mergeCell ref="AE12:AE31"/>
    <mergeCell ref="AF12:AF31"/>
    <mergeCell ref="AG12:AG31"/>
    <mergeCell ref="AH12:AH31"/>
    <mergeCell ref="AC32:AC51"/>
    <mergeCell ref="AD32:AD51"/>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152F-44D4-4F5D-AC95-6299184CB932}">
  <dimension ref="A1:AU93"/>
  <sheetViews>
    <sheetView topLeftCell="J19" zoomScale="60" zoomScaleNormal="60" workbookViewId="0">
      <selection activeCell="AA26" sqref="AA26:AA31"/>
    </sheetView>
  </sheetViews>
  <sheetFormatPr defaultColWidth="11.375" defaultRowHeight="14.25"/>
  <cols>
    <col min="1" max="1" width="31.375" style="3" customWidth="1"/>
    <col min="2" max="2" width="28.375" style="3" customWidth="1"/>
    <col min="3" max="3" width="24" style="3" customWidth="1"/>
    <col min="4" max="4" width="30.375" style="3" customWidth="1"/>
    <col min="5" max="5" width="24.375" style="3" customWidth="1"/>
    <col min="6" max="6" width="18.375" style="3" customWidth="1"/>
    <col min="7" max="7" width="20.25" style="3" customWidth="1"/>
    <col min="8" max="8" width="36.25" style="3" customWidth="1"/>
    <col min="9" max="9" width="15" style="3" hidden="1" customWidth="1"/>
    <col min="10" max="10" width="38.125" style="5" customWidth="1"/>
    <col min="11" max="12" width="15" style="3" customWidth="1"/>
    <col min="13" max="13" width="16.25" style="3" customWidth="1"/>
    <col min="14" max="14" width="16.75" style="3" customWidth="1"/>
    <col min="15" max="15" width="16.875" style="3" customWidth="1"/>
    <col min="16" max="16" width="18" style="3" customWidth="1"/>
    <col min="17" max="17" width="20.125" style="3" customWidth="1"/>
    <col min="18" max="18" width="21.375" style="3" customWidth="1"/>
    <col min="19" max="20" width="27.75" style="7" customWidth="1"/>
    <col min="21" max="21" width="25.375" style="7" bestFit="1" customWidth="1"/>
    <col min="22" max="31" width="25.375" style="7" customWidth="1"/>
    <col min="32" max="34" width="34.25" style="7" customWidth="1"/>
    <col min="35" max="39" width="43.875" style="7" customWidth="1"/>
    <col min="40" max="40" width="20" style="3" customWidth="1"/>
    <col min="41" max="41" width="20.125" style="3" customWidth="1"/>
    <col min="42" max="42" width="30.25" style="2" hidden="1" customWidth="1"/>
    <col min="43" max="44" width="17.375" style="2" customWidth="1"/>
    <col min="45" max="45" width="21.125" style="2" customWidth="1"/>
    <col min="46" max="46" width="16.75" style="2" customWidth="1"/>
    <col min="47" max="47" width="20.125" style="2" customWidth="1"/>
    <col min="48" max="16384" width="11.375" style="2"/>
  </cols>
  <sheetData>
    <row r="1" spans="1:47" s="1" customFormat="1" ht="30.75" customHeight="1" thickTop="1" thickBot="1">
      <c r="A1" s="1094"/>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9"/>
      <c r="AQ1" s="1095" t="s">
        <v>1</v>
      </c>
      <c r="AR1" s="1095"/>
      <c r="AS1" s="1095"/>
      <c r="AT1" s="1095"/>
      <c r="AU1" s="1096"/>
    </row>
    <row r="2" spans="1:47" s="1" customFormat="1" ht="27.95" customHeight="1" thickTop="1" thickBot="1">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19"/>
      <c r="AQ2" s="206" t="s">
        <v>3</v>
      </c>
      <c r="AR2" s="18" t="s">
        <v>4</v>
      </c>
      <c r="AS2" s="16" t="s">
        <v>5</v>
      </c>
      <c r="AT2" s="16" t="s">
        <v>6</v>
      </c>
      <c r="AU2" s="16" t="s">
        <v>7</v>
      </c>
    </row>
    <row r="3" spans="1:47" s="1" customFormat="1" ht="25.5" customHeight="1" thickTop="1" thickBot="1">
      <c r="A3" s="209"/>
      <c r="B3" s="1147" t="s">
        <v>723</v>
      </c>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c r="AI3" s="1148"/>
      <c r="AJ3" s="1148"/>
      <c r="AK3" s="1148"/>
      <c r="AL3" s="1148"/>
      <c r="AM3" s="1148"/>
      <c r="AN3" s="1148"/>
      <c r="AO3" s="1149"/>
      <c r="AP3" s="19"/>
      <c r="AQ3" s="1280"/>
      <c r="AR3" s="1258"/>
      <c r="AS3" s="1259"/>
      <c r="AT3" s="1260"/>
      <c r="AU3" s="17"/>
    </row>
    <row r="4" spans="1:47" s="1" customFormat="1" ht="27.95" customHeight="1" thickTop="1" thickBot="1">
      <c r="A4" s="1176" t="s">
        <v>1130</v>
      </c>
      <c r="B4" s="1177"/>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8"/>
      <c r="AP4" s="19"/>
      <c r="AQ4" s="1280"/>
      <c r="AR4" s="1258"/>
      <c r="AS4" s="1259"/>
      <c r="AT4" s="1260"/>
      <c r="AU4" s="17"/>
    </row>
    <row r="5" spans="1:47" s="1" customFormat="1" ht="27.95" customHeight="1" thickTop="1" thickBot="1">
      <c r="A5" s="853"/>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132"/>
      <c r="AQ5" s="1280"/>
      <c r="AR5" s="1258"/>
      <c r="AS5" s="1259"/>
      <c r="AT5" s="1260"/>
      <c r="AU5" s="17"/>
    </row>
    <row r="6" spans="1:47" ht="27.95" customHeight="1" thickBot="1">
      <c r="A6" s="856"/>
      <c r="B6" s="857"/>
      <c r="C6" s="858" t="s">
        <v>10</v>
      </c>
      <c r="D6" s="856"/>
      <c r="E6" s="856"/>
      <c r="F6" s="857"/>
      <c r="G6" s="21"/>
      <c r="H6" s="823" t="s">
        <v>11</v>
      </c>
      <c r="I6" s="823"/>
      <c r="J6" s="1145" t="s">
        <v>14</v>
      </c>
      <c r="K6" s="826" t="s">
        <v>971</v>
      </c>
      <c r="L6" s="826" t="s">
        <v>15</v>
      </c>
      <c r="M6" s="826" t="s">
        <v>17</v>
      </c>
      <c r="N6" s="826" t="s">
        <v>18</v>
      </c>
      <c r="O6" s="826" t="s">
        <v>19</v>
      </c>
      <c r="P6" s="826" t="s">
        <v>20</v>
      </c>
      <c r="Q6" s="825" t="s">
        <v>21</v>
      </c>
      <c r="R6" s="825"/>
      <c r="S6" s="825"/>
      <c r="T6" s="825"/>
      <c r="U6" s="825"/>
      <c r="V6" s="863" t="s">
        <v>22</v>
      </c>
      <c r="W6" s="864"/>
      <c r="X6" s="864"/>
      <c r="Y6" s="864"/>
      <c r="Z6" s="864"/>
      <c r="AA6" s="864"/>
      <c r="AB6" s="865"/>
      <c r="AC6" s="203"/>
      <c r="AD6" s="203"/>
      <c r="AE6" s="203"/>
      <c r="AF6" s="203"/>
      <c r="AG6" s="203"/>
      <c r="AH6" s="203"/>
      <c r="AI6" s="203"/>
      <c r="AJ6" s="203"/>
      <c r="AK6" s="203"/>
      <c r="AL6" s="203"/>
      <c r="AM6" s="203"/>
      <c r="AN6" s="826" t="s">
        <v>23</v>
      </c>
      <c r="AO6" s="820" t="s">
        <v>24</v>
      </c>
      <c r="AP6" s="133"/>
      <c r="AQ6" s="18" t="s">
        <v>25</v>
      </c>
      <c r="AR6" s="15" t="s">
        <v>26</v>
      </c>
      <c r="AS6" s="16" t="s">
        <v>27</v>
      </c>
      <c r="AT6" s="16" t="s">
        <v>28</v>
      </c>
      <c r="AU6" s="16" t="s">
        <v>29</v>
      </c>
    </row>
    <row r="7" spans="1:47" ht="68.25" customHeight="1" thickTop="1">
      <c r="A7" s="20" t="s">
        <v>32</v>
      </c>
      <c r="B7" s="20" t="s">
        <v>33</v>
      </c>
      <c r="C7" s="20" t="s">
        <v>34</v>
      </c>
      <c r="D7" s="20" t="s">
        <v>35</v>
      </c>
      <c r="E7" s="20" t="s">
        <v>36</v>
      </c>
      <c r="F7" s="20" t="s">
        <v>972</v>
      </c>
      <c r="G7" s="20" t="s">
        <v>38</v>
      </c>
      <c r="H7" s="22" t="s">
        <v>39</v>
      </c>
      <c r="I7" s="20" t="s">
        <v>35</v>
      </c>
      <c r="J7" s="1146"/>
      <c r="K7" s="827"/>
      <c r="L7" s="827"/>
      <c r="M7" s="827"/>
      <c r="N7" s="827"/>
      <c r="O7" s="827"/>
      <c r="P7" s="827"/>
      <c r="Q7" s="20" t="s">
        <v>41</v>
      </c>
      <c r="R7" s="20" t="s">
        <v>42</v>
      </c>
      <c r="S7" s="4" t="s">
        <v>43</v>
      </c>
      <c r="T7" s="4"/>
      <c r="U7" s="4" t="s">
        <v>44</v>
      </c>
      <c r="V7" s="4" t="s">
        <v>45</v>
      </c>
      <c r="W7" s="4" t="s">
        <v>46</v>
      </c>
      <c r="X7" s="4" t="s">
        <v>47</v>
      </c>
      <c r="Y7" s="4" t="s">
        <v>48</v>
      </c>
      <c r="Z7" s="4" t="s">
        <v>49</v>
      </c>
      <c r="AA7" s="4" t="s">
        <v>50</v>
      </c>
      <c r="AB7" s="4" t="s">
        <v>51</v>
      </c>
      <c r="AC7" s="205" t="s">
        <v>52</v>
      </c>
      <c r="AD7" s="205" t="s">
        <v>53</v>
      </c>
      <c r="AE7" s="205" t="s">
        <v>54</v>
      </c>
      <c r="AF7" s="205" t="s">
        <v>55</v>
      </c>
      <c r="AG7" s="205" t="s">
        <v>56</v>
      </c>
      <c r="AH7" s="205" t="s">
        <v>58</v>
      </c>
      <c r="AI7" s="205" t="s">
        <v>59</v>
      </c>
      <c r="AJ7" s="205" t="s">
        <v>60</v>
      </c>
      <c r="AK7" s="205" t="s">
        <v>61</v>
      </c>
      <c r="AL7" s="205" t="s">
        <v>62</v>
      </c>
      <c r="AM7" s="205" t="s">
        <v>63</v>
      </c>
      <c r="AN7" s="827"/>
      <c r="AO7" s="821" t="s">
        <v>24</v>
      </c>
      <c r="AP7" s="133"/>
    </row>
    <row r="8" spans="1:47" s="1" customFormat="1" ht="72" customHeight="1">
      <c r="A8" s="754" t="s">
        <v>316</v>
      </c>
      <c r="B8" s="754" t="s">
        <v>317</v>
      </c>
      <c r="C8" s="754" t="s">
        <v>318</v>
      </c>
      <c r="D8" s="754" t="s">
        <v>72</v>
      </c>
      <c r="E8" s="754" t="s">
        <v>69</v>
      </c>
      <c r="F8" s="754">
        <v>1</v>
      </c>
      <c r="G8" s="754" t="s">
        <v>319</v>
      </c>
      <c r="H8" s="754" t="s">
        <v>320</v>
      </c>
      <c r="I8" s="74" t="s">
        <v>72</v>
      </c>
      <c r="J8" s="70" t="s">
        <v>1131</v>
      </c>
      <c r="K8" s="74">
        <v>1</v>
      </c>
      <c r="L8" s="74" t="s">
        <v>142</v>
      </c>
      <c r="M8" s="74">
        <v>1</v>
      </c>
      <c r="N8" s="74">
        <v>0</v>
      </c>
      <c r="O8" s="74">
        <v>0</v>
      </c>
      <c r="P8" s="74">
        <v>0</v>
      </c>
      <c r="Q8" s="74"/>
      <c r="R8" s="74"/>
      <c r="S8" s="183">
        <v>0</v>
      </c>
      <c r="T8" s="183"/>
      <c r="U8" s="183">
        <v>0</v>
      </c>
      <c r="V8" s="190"/>
      <c r="W8" s="190"/>
      <c r="X8" s="190"/>
      <c r="Y8" s="190"/>
      <c r="Z8" s="190"/>
      <c r="AA8" s="190"/>
      <c r="AB8" s="190"/>
      <c r="AC8" s="190"/>
      <c r="AD8" s="190"/>
      <c r="AE8" s="190"/>
      <c r="AF8" s="190"/>
      <c r="AG8" s="190"/>
      <c r="AH8" s="190"/>
      <c r="AI8" s="190"/>
      <c r="AJ8" s="190"/>
      <c r="AK8" s="190"/>
      <c r="AL8" s="190"/>
      <c r="AM8" s="190"/>
      <c r="AN8" s="76" t="s">
        <v>323</v>
      </c>
      <c r="AO8" s="76" t="s">
        <v>323</v>
      </c>
      <c r="AP8" s="134"/>
    </row>
    <row r="9" spans="1:47" s="1" customFormat="1" ht="72" customHeight="1">
      <c r="A9" s="754"/>
      <c r="B9" s="754"/>
      <c r="C9" s="754"/>
      <c r="D9" s="754"/>
      <c r="E9" s="754"/>
      <c r="F9" s="754"/>
      <c r="G9" s="754"/>
      <c r="H9" s="754"/>
      <c r="I9" s="74"/>
      <c r="J9" s="70" t="s">
        <v>1132</v>
      </c>
      <c r="K9" s="74">
        <v>50</v>
      </c>
      <c r="L9" s="74" t="s">
        <v>98</v>
      </c>
      <c r="M9" s="74">
        <v>5</v>
      </c>
      <c r="N9" s="74">
        <v>5</v>
      </c>
      <c r="O9" s="74">
        <v>20</v>
      </c>
      <c r="P9" s="74">
        <v>20</v>
      </c>
      <c r="Q9" s="1179" t="s">
        <v>1133</v>
      </c>
      <c r="R9" s="1179"/>
      <c r="S9" s="1180">
        <v>90341227.37184</v>
      </c>
      <c r="T9" s="182"/>
      <c r="U9" s="1181">
        <v>90341227.37184</v>
      </c>
      <c r="V9" s="1181">
        <v>14156648</v>
      </c>
      <c r="W9" s="1181"/>
      <c r="X9" s="190"/>
      <c r="Y9" s="190"/>
      <c r="Z9" s="190">
        <v>9739412</v>
      </c>
      <c r="AA9" s="1181">
        <v>7796610</v>
      </c>
      <c r="AB9" s="190"/>
      <c r="AC9" s="190"/>
      <c r="AD9" s="190"/>
      <c r="AE9" s="190"/>
      <c r="AF9" s="190"/>
      <c r="AG9" s="190"/>
      <c r="AH9" s="190"/>
      <c r="AI9" s="190"/>
      <c r="AJ9" s="190"/>
      <c r="AK9" s="190"/>
      <c r="AL9" s="190"/>
      <c r="AM9" s="190"/>
      <c r="AN9" s="76"/>
      <c r="AO9" s="76"/>
      <c r="AP9" s="155"/>
    </row>
    <row r="10" spans="1:47" s="1" customFormat="1" ht="72" customHeight="1">
      <c r="A10" s="755"/>
      <c r="B10" s="755"/>
      <c r="C10" s="755"/>
      <c r="D10" s="755"/>
      <c r="E10" s="755"/>
      <c r="F10" s="755"/>
      <c r="G10" s="755"/>
      <c r="H10" s="755"/>
      <c r="I10" s="74"/>
      <c r="J10" s="70" t="s">
        <v>1134</v>
      </c>
      <c r="K10" s="74">
        <v>30</v>
      </c>
      <c r="L10" s="74" t="s">
        <v>93</v>
      </c>
      <c r="M10" s="74">
        <v>0</v>
      </c>
      <c r="N10" s="74">
        <v>5</v>
      </c>
      <c r="O10" s="74">
        <v>5</v>
      </c>
      <c r="P10" s="74">
        <v>5</v>
      </c>
      <c r="Q10" s="1179"/>
      <c r="R10" s="1179"/>
      <c r="S10" s="1180"/>
      <c r="T10" s="183"/>
      <c r="U10" s="1182"/>
      <c r="V10" s="1182"/>
      <c r="W10" s="1182"/>
      <c r="X10" s="190"/>
      <c r="Y10" s="190"/>
      <c r="Z10" s="190">
        <v>9739412</v>
      </c>
      <c r="AA10" s="1182"/>
      <c r="AB10" s="190"/>
      <c r="AC10" s="190"/>
      <c r="AD10" s="190"/>
      <c r="AE10" s="190"/>
      <c r="AF10" s="190"/>
      <c r="AG10" s="190"/>
      <c r="AH10" s="190"/>
      <c r="AI10" s="190"/>
      <c r="AJ10" s="190"/>
      <c r="AK10" s="190"/>
      <c r="AL10" s="190"/>
      <c r="AM10" s="190"/>
      <c r="AN10" s="76"/>
      <c r="AO10" s="76"/>
      <c r="AP10" s="155"/>
    </row>
    <row r="11" spans="1:47" s="1" customFormat="1" ht="39.75" customHeight="1">
      <c r="A11" s="1159" t="s">
        <v>979</v>
      </c>
      <c r="B11" s="1160"/>
      <c r="C11" s="1160"/>
      <c r="D11" s="1160"/>
      <c r="E11" s="1160"/>
      <c r="F11" s="1160"/>
      <c r="G11" s="1160"/>
      <c r="H11" s="1161"/>
      <c r="I11" s="74"/>
      <c r="J11" s="246"/>
      <c r="K11" s="235">
        <f>K8</f>
        <v>1</v>
      </c>
      <c r="L11" s="235" t="s">
        <v>142</v>
      </c>
      <c r="M11" s="235">
        <f>M8</f>
        <v>1</v>
      </c>
      <c r="N11" s="235">
        <f t="shared" ref="N11:P11" si="0">N8</f>
        <v>0</v>
      </c>
      <c r="O11" s="235">
        <f t="shared" si="0"/>
        <v>0</v>
      </c>
      <c r="P11" s="235">
        <f t="shared" si="0"/>
        <v>0</v>
      </c>
      <c r="Q11" s="235"/>
      <c r="R11" s="235"/>
      <c r="S11" s="1173">
        <f>S9+S8</f>
        <v>90341227.37184</v>
      </c>
      <c r="T11" s="322"/>
      <c r="U11" s="1173">
        <f>U9+U8</f>
        <v>90341227.37184</v>
      </c>
      <c r="V11" s="235">
        <f>V8</f>
        <v>0</v>
      </c>
      <c r="W11" s="235">
        <f t="shared" ref="W11:Y11" si="1">W8</f>
        <v>0</v>
      </c>
      <c r="X11" s="235">
        <f t="shared" si="1"/>
        <v>0</v>
      </c>
      <c r="Y11" s="235">
        <f t="shared" si="1"/>
        <v>0</v>
      </c>
      <c r="Z11" s="1173">
        <f>Z10+Z9+Z8</f>
        <v>19478824</v>
      </c>
      <c r="AA11" s="1173">
        <f t="shared" ref="AA11:AE11" si="2">AA10+AA9+AA8</f>
        <v>7796610</v>
      </c>
      <c r="AB11" s="1173">
        <f t="shared" si="2"/>
        <v>0</v>
      </c>
      <c r="AC11" s="1173">
        <f t="shared" si="2"/>
        <v>0</v>
      </c>
      <c r="AD11" s="1173">
        <f t="shared" si="2"/>
        <v>0</v>
      </c>
      <c r="AE11" s="1173">
        <f t="shared" si="2"/>
        <v>0</v>
      </c>
      <c r="AF11" s="201"/>
      <c r="AG11" s="201"/>
      <c r="AH11" s="201"/>
      <c r="AI11" s="201"/>
      <c r="AJ11" s="201"/>
      <c r="AK11" s="201"/>
      <c r="AL11" s="201"/>
      <c r="AM11" s="201"/>
      <c r="AN11" s="198"/>
      <c r="AO11" s="198"/>
      <c r="AP11" s="155"/>
    </row>
    <row r="12" spans="1:47" s="1" customFormat="1" ht="39.75" customHeight="1">
      <c r="A12" s="1162"/>
      <c r="B12" s="1163"/>
      <c r="C12" s="1163"/>
      <c r="D12" s="1163"/>
      <c r="E12" s="1163"/>
      <c r="F12" s="1163"/>
      <c r="G12" s="1163"/>
      <c r="H12" s="1164"/>
      <c r="I12" s="74"/>
      <c r="J12" s="246"/>
      <c r="K12" s="235">
        <v>100</v>
      </c>
      <c r="L12" s="235" t="s">
        <v>93</v>
      </c>
      <c r="M12" s="235">
        <v>100</v>
      </c>
      <c r="N12" s="235">
        <v>100</v>
      </c>
      <c r="O12" s="235">
        <v>100</v>
      </c>
      <c r="P12" s="235">
        <v>100</v>
      </c>
      <c r="Q12" s="235"/>
      <c r="R12" s="235"/>
      <c r="S12" s="1174"/>
      <c r="T12" s="247"/>
      <c r="U12" s="1174"/>
      <c r="V12" s="263">
        <f>AVERAGE(V10+V9)</f>
        <v>14156648</v>
      </c>
      <c r="W12" s="263">
        <f t="shared" ref="W12:Y12" si="3">AVERAGE(W10+W9)</f>
        <v>0</v>
      </c>
      <c r="X12" s="263">
        <f t="shared" si="3"/>
        <v>0</v>
      </c>
      <c r="Y12" s="263">
        <f t="shared" si="3"/>
        <v>0</v>
      </c>
      <c r="Z12" s="1174"/>
      <c r="AA12" s="1174"/>
      <c r="AB12" s="1174"/>
      <c r="AC12" s="1174"/>
      <c r="AD12" s="1174"/>
      <c r="AE12" s="1174"/>
      <c r="AF12" s="201"/>
      <c r="AG12" s="201"/>
      <c r="AH12" s="201"/>
      <c r="AI12" s="201"/>
      <c r="AJ12" s="201"/>
      <c r="AK12" s="201"/>
      <c r="AL12" s="201"/>
      <c r="AM12" s="201"/>
      <c r="AN12" s="198"/>
      <c r="AO12" s="198"/>
      <c r="AP12" s="155"/>
    </row>
    <row r="13" spans="1:47" s="1" customFormat="1" ht="52.5" customHeight="1">
      <c r="A13" s="753" t="s">
        <v>324</v>
      </c>
      <c r="B13" s="753" t="s">
        <v>325</v>
      </c>
      <c r="C13" s="753" t="s">
        <v>326</v>
      </c>
      <c r="D13" s="753" t="s">
        <v>93</v>
      </c>
      <c r="E13" s="753" t="s">
        <v>69</v>
      </c>
      <c r="F13" s="753">
        <v>70</v>
      </c>
      <c r="G13" s="753" t="s">
        <v>327</v>
      </c>
      <c r="H13" s="71" t="s">
        <v>328</v>
      </c>
      <c r="I13" s="74" t="s">
        <v>72</v>
      </c>
      <c r="J13" s="73" t="s">
        <v>769</v>
      </c>
      <c r="K13" s="76">
        <v>1</v>
      </c>
      <c r="L13" s="76" t="s">
        <v>142</v>
      </c>
      <c r="M13" s="76">
        <v>0</v>
      </c>
      <c r="N13" s="76">
        <v>0</v>
      </c>
      <c r="O13" s="76">
        <v>0</v>
      </c>
      <c r="P13" s="76">
        <v>1</v>
      </c>
      <c r="Q13" s="68"/>
      <c r="R13" s="68"/>
      <c r="S13" s="179"/>
      <c r="T13" s="179"/>
      <c r="U13" s="190">
        <f>S13</f>
        <v>0</v>
      </c>
      <c r="V13" s="190"/>
      <c r="W13" s="190"/>
      <c r="X13" s="190"/>
      <c r="Y13" s="190"/>
      <c r="Z13" s="190"/>
      <c r="AA13" s="190"/>
      <c r="AB13" s="190"/>
      <c r="AC13" s="190"/>
      <c r="AD13" s="190"/>
      <c r="AE13" s="190"/>
      <c r="AF13" s="190"/>
      <c r="AG13" s="190"/>
      <c r="AH13" s="190"/>
      <c r="AI13" s="190"/>
      <c r="AJ13" s="190"/>
      <c r="AK13" s="190"/>
      <c r="AL13" s="190"/>
      <c r="AM13" s="190"/>
      <c r="AN13" s="76" t="s">
        <v>204</v>
      </c>
      <c r="AO13" s="76" t="s">
        <v>204</v>
      </c>
      <c r="AP13" s="788" t="s">
        <v>1135</v>
      </c>
    </row>
    <row r="14" spans="1:47" s="1" customFormat="1" ht="42" customHeight="1">
      <c r="A14" s="754"/>
      <c r="B14" s="754"/>
      <c r="C14" s="754"/>
      <c r="D14" s="754"/>
      <c r="E14" s="754"/>
      <c r="F14" s="754"/>
      <c r="G14" s="754"/>
      <c r="H14" s="71" t="s">
        <v>335</v>
      </c>
      <c r="I14" s="71" t="s">
        <v>93</v>
      </c>
      <c r="J14" s="73" t="s">
        <v>337</v>
      </c>
      <c r="K14" s="76">
        <v>1</v>
      </c>
      <c r="L14" s="76" t="s">
        <v>72</v>
      </c>
      <c r="M14" s="76">
        <v>0</v>
      </c>
      <c r="N14" s="76">
        <v>0</v>
      </c>
      <c r="O14" s="76">
        <v>1</v>
      </c>
      <c r="P14" s="76">
        <v>0</v>
      </c>
      <c r="Q14" s="76" t="s">
        <v>1133</v>
      </c>
      <c r="R14" s="76"/>
      <c r="S14" s="190">
        <v>90341227.37184</v>
      </c>
      <c r="T14" s="190"/>
      <c r="U14" s="190">
        <f t="shared" ref="U14:U22" si="4">S14</f>
        <v>90341227.37184</v>
      </c>
      <c r="V14" s="190">
        <v>14165648</v>
      </c>
      <c r="W14" s="190"/>
      <c r="X14" s="190"/>
      <c r="Y14" s="190"/>
      <c r="Z14" s="190">
        <v>9739412</v>
      </c>
      <c r="AA14" s="190">
        <v>7796611</v>
      </c>
      <c r="AB14" s="190"/>
      <c r="AC14" s="190"/>
      <c r="AD14" s="190"/>
      <c r="AE14" s="190"/>
      <c r="AF14" s="190"/>
      <c r="AG14" s="190"/>
      <c r="AH14" s="190"/>
      <c r="AI14" s="190"/>
      <c r="AJ14" s="190"/>
      <c r="AK14" s="190"/>
      <c r="AL14" s="190"/>
      <c r="AM14" s="190"/>
      <c r="AN14" s="76" t="s">
        <v>204</v>
      </c>
      <c r="AO14" s="76" t="s">
        <v>204</v>
      </c>
      <c r="AP14" s="789"/>
      <c r="AS14" s="1">
        <v>307118571.5</v>
      </c>
    </row>
    <row r="15" spans="1:47" s="1" customFormat="1" ht="58.5" customHeight="1">
      <c r="A15" s="755"/>
      <c r="B15" s="755"/>
      <c r="C15" s="755"/>
      <c r="D15" s="755"/>
      <c r="E15" s="755"/>
      <c r="F15" s="755"/>
      <c r="G15" s="755"/>
      <c r="H15" s="71" t="s">
        <v>338</v>
      </c>
      <c r="I15" s="71" t="s">
        <v>72</v>
      </c>
      <c r="J15" s="75" t="s">
        <v>1136</v>
      </c>
      <c r="K15" s="76">
        <v>60</v>
      </c>
      <c r="L15" s="76" t="s">
        <v>93</v>
      </c>
      <c r="M15" s="76">
        <v>10</v>
      </c>
      <c r="N15" s="76">
        <v>10</v>
      </c>
      <c r="O15" s="76">
        <v>20</v>
      </c>
      <c r="P15" s="76">
        <v>20</v>
      </c>
      <c r="Q15" s="76" t="s">
        <v>1133</v>
      </c>
      <c r="R15" s="76"/>
      <c r="S15" s="190">
        <v>90341227.37184</v>
      </c>
      <c r="T15" s="190"/>
      <c r="U15" s="190">
        <f t="shared" si="4"/>
        <v>90341227.37184</v>
      </c>
      <c r="V15" s="190">
        <v>14165649</v>
      </c>
      <c r="W15" s="190"/>
      <c r="X15" s="190"/>
      <c r="Y15" s="190"/>
      <c r="Z15" s="190">
        <v>9739412</v>
      </c>
      <c r="AA15" s="190">
        <v>7796612</v>
      </c>
      <c r="AB15" s="190"/>
      <c r="AC15" s="190"/>
      <c r="AD15" s="190"/>
      <c r="AE15" s="190"/>
      <c r="AF15" s="190"/>
      <c r="AG15" s="190"/>
      <c r="AH15" s="190"/>
      <c r="AI15" s="190"/>
      <c r="AJ15" s="190"/>
      <c r="AK15" s="190"/>
      <c r="AL15" s="190"/>
      <c r="AM15" s="190"/>
      <c r="AN15" s="76" t="s">
        <v>204</v>
      </c>
      <c r="AO15" s="76" t="s">
        <v>204</v>
      </c>
      <c r="AP15" s="790"/>
    </row>
    <row r="16" spans="1:47" s="1" customFormat="1" ht="36.75" customHeight="1">
      <c r="A16" s="1159" t="s">
        <v>979</v>
      </c>
      <c r="B16" s="1160"/>
      <c r="C16" s="1160"/>
      <c r="D16" s="1160"/>
      <c r="E16" s="1160"/>
      <c r="F16" s="1160"/>
      <c r="G16" s="1160"/>
      <c r="H16" s="1160"/>
      <c r="I16" s="1160"/>
      <c r="J16" s="1161"/>
      <c r="K16" s="198">
        <f>K14+K13</f>
        <v>2</v>
      </c>
      <c r="L16" s="198" t="s">
        <v>142</v>
      </c>
      <c r="M16" s="198">
        <f>M14+M13</f>
        <v>0</v>
      </c>
      <c r="N16" s="198">
        <f t="shared" ref="N16:P16" si="5">N14+N13</f>
        <v>0</v>
      </c>
      <c r="O16" s="198">
        <f t="shared" si="5"/>
        <v>1</v>
      </c>
      <c r="P16" s="198">
        <f t="shared" si="5"/>
        <v>1</v>
      </c>
      <c r="Q16" s="198"/>
      <c r="R16" s="198"/>
      <c r="S16" s="1173">
        <f>S15+S14+S13</f>
        <v>180682454.74368</v>
      </c>
      <c r="T16" s="322"/>
      <c r="U16" s="1173">
        <f>U15+U14+U13</f>
        <v>180682454.74368</v>
      </c>
      <c r="V16" s="198">
        <f>V14+V13</f>
        <v>14165648</v>
      </c>
      <c r="W16" s="198">
        <f t="shared" ref="W16:Y16" si="6">W14+W13</f>
        <v>0</v>
      </c>
      <c r="X16" s="198">
        <f t="shared" si="6"/>
        <v>0</v>
      </c>
      <c r="Y16" s="198">
        <f t="shared" si="6"/>
        <v>0</v>
      </c>
      <c r="Z16" s="1173">
        <f>Z15+Z14+Z13</f>
        <v>19478824</v>
      </c>
      <c r="AA16" s="1173">
        <f t="shared" ref="AA16:AE16" si="7">AA15+AA14+AA13</f>
        <v>15593223</v>
      </c>
      <c r="AB16" s="1173">
        <f t="shared" si="7"/>
        <v>0</v>
      </c>
      <c r="AC16" s="1173">
        <f t="shared" si="7"/>
        <v>0</v>
      </c>
      <c r="AD16" s="1173">
        <f t="shared" si="7"/>
        <v>0</v>
      </c>
      <c r="AE16" s="1173">
        <f t="shared" si="7"/>
        <v>0</v>
      </c>
      <c r="AF16" s="201"/>
      <c r="AG16" s="201"/>
      <c r="AH16" s="201"/>
      <c r="AI16" s="201"/>
      <c r="AJ16" s="201"/>
      <c r="AK16" s="201"/>
      <c r="AL16" s="201"/>
      <c r="AM16" s="201"/>
      <c r="AN16" s="198"/>
      <c r="AO16" s="198"/>
      <c r="AP16" s="136"/>
    </row>
    <row r="17" spans="1:42" s="1" customFormat="1" ht="28.5" customHeight="1">
      <c r="A17" s="1162"/>
      <c r="B17" s="1163"/>
      <c r="C17" s="1163"/>
      <c r="D17" s="1163"/>
      <c r="E17" s="1163"/>
      <c r="F17" s="1163"/>
      <c r="G17" s="1163"/>
      <c r="H17" s="1163"/>
      <c r="I17" s="1163"/>
      <c r="J17" s="1164"/>
      <c r="K17" s="198">
        <v>100</v>
      </c>
      <c r="L17" s="198" t="s">
        <v>93</v>
      </c>
      <c r="M17" s="198">
        <v>100</v>
      </c>
      <c r="N17" s="198">
        <v>100</v>
      </c>
      <c r="O17" s="198">
        <v>100</v>
      </c>
      <c r="P17" s="198">
        <v>100</v>
      </c>
      <c r="Q17" s="198"/>
      <c r="R17" s="198"/>
      <c r="S17" s="1174"/>
      <c r="T17" s="247"/>
      <c r="U17" s="1174"/>
      <c r="V17" s="263">
        <f>V15</f>
        <v>14165649</v>
      </c>
      <c r="W17" s="263">
        <f t="shared" ref="W17:Y17" si="8">W15</f>
        <v>0</v>
      </c>
      <c r="X17" s="263">
        <f t="shared" si="8"/>
        <v>0</v>
      </c>
      <c r="Y17" s="263">
        <f t="shared" si="8"/>
        <v>0</v>
      </c>
      <c r="Z17" s="1174"/>
      <c r="AA17" s="1174"/>
      <c r="AB17" s="1174"/>
      <c r="AC17" s="1174"/>
      <c r="AD17" s="1174"/>
      <c r="AE17" s="1174"/>
      <c r="AF17" s="201"/>
      <c r="AG17" s="201"/>
      <c r="AH17" s="201"/>
      <c r="AI17" s="201"/>
      <c r="AJ17" s="201"/>
      <c r="AK17" s="201"/>
      <c r="AL17" s="201"/>
      <c r="AM17" s="201"/>
      <c r="AN17" s="198"/>
      <c r="AO17" s="198"/>
      <c r="AP17" s="136"/>
    </row>
    <row r="18" spans="1:42" s="1" customFormat="1" ht="80.25" customHeight="1">
      <c r="A18" s="753" t="s">
        <v>345</v>
      </c>
      <c r="B18" s="753" t="s">
        <v>346</v>
      </c>
      <c r="C18" s="753" t="s">
        <v>347</v>
      </c>
      <c r="D18" s="753" t="s">
        <v>93</v>
      </c>
      <c r="E18" s="753">
        <v>90</v>
      </c>
      <c r="F18" s="753">
        <v>90</v>
      </c>
      <c r="G18" s="753" t="s">
        <v>348</v>
      </c>
      <c r="H18" s="71" t="s">
        <v>349</v>
      </c>
      <c r="I18" s="71" t="s">
        <v>72</v>
      </c>
      <c r="J18" s="75" t="s">
        <v>1137</v>
      </c>
      <c r="K18" s="76">
        <v>1</v>
      </c>
      <c r="L18" s="76" t="s">
        <v>352</v>
      </c>
      <c r="M18" s="76">
        <v>0</v>
      </c>
      <c r="N18" s="76">
        <v>0</v>
      </c>
      <c r="O18" s="76">
        <v>0</v>
      </c>
      <c r="P18" s="76">
        <v>1</v>
      </c>
      <c r="Q18" s="76" t="s">
        <v>1138</v>
      </c>
      <c r="R18" s="76"/>
      <c r="S18" s="190">
        <f>(3500000*1.05*12)+307118571.5</f>
        <v>351218571.5</v>
      </c>
      <c r="T18" s="190"/>
      <c r="U18" s="190">
        <f t="shared" si="4"/>
        <v>351218571.5</v>
      </c>
      <c r="V18" s="190">
        <v>14400000</v>
      </c>
      <c r="W18" s="190">
        <v>17500000</v>
      </c>
      <c r="X18" s="190"/>
      <c r="Y18" s="190"/>
      <c r="Z18" s="190">
        <v>28800000</v>
      </c>
      <c r="AA18" s="190">
        <v>17500000</v>
      </c>
      <c r="AB18" s="190"/>
      <c r="AC18" s="190"/>
      <c r="AD18" s="190"/>
      <c r="AE18" s="190"/>
      <c r="AF18" s="190"/>
      <c r="AG18" s="190"/>
      <c r="AH18" s="190"/>
      <c r="AI18" s="190"/>
      <c r="AJ18" s="190"/>
      <c r="AK18" s="190"/>
      <c r="AL18" s="190"/>
      <c r="AM18" s="190"/>
      <c r="AN18" s="76" t="s">
        <v>204</v>
      </c>
      <c r="AO18" s="76" t="s">
        <v>204</v>
      </c>
      <c r="AP18" s="788" t="s">
        <v>353</v>
      </c>
    </row>
    <row r="19" spans="1:42" s="1" customFormat="1" ht="80.25" customHeight="1">
      <c r="A19" s="754"/>
      <c r="B19" s="754"/>
      <c r="C19" s="755"/>
      <c r="D19" s="755"/>
      <c r="E19" s="755"/>
      <c r="F19" s="755"/>
      <c r="G19" s="754"/>
      <c r="H19" s="71" t="s">
        <v>354</v>
      </c>
      <c r="I19" s="71" t="s">
        <v>93</v>
      </c>
      <c r="J19" s="75" t="s">
        <v>1139</v>
      </c>
      <c r="K19" s="76">
        <v>20</v>
      </c>
      <c r="L19" s="76" t="s">
        <v>98</v>
      </c>
      <c r="M19" s="76">
        <v>5</v>
      </c>
      <c r="N19" s="76">
        <v>10</v>
      </c>
      <c r="O19" s="76">
        <v>15</v>
      </c>
      <c r="P19" s="76">
        <v>20</v>
      </c>
      <c r="Q19" s="76" t="s">
        <v>1140</v>
      </c>
      <c r="R19" s="76"/>
      <c r="S19" s="190">
        <v>1000000000</v>
      </c>
      <c r="T19" s="190"/>
      <c r="U19" s="190">
        <f t="shared" si="4"/>
        <v>1000000000</v>
      </c>
      <c r="V19" s="190">
        <v>189187445</v>
      </c>
      <c r="W19" s="190">
        <v>748163649</v>
      </c>
      <c r="X19" s="190"/>
      <c r="Y19" s="190"/>
      <c r="Z19" s="190">
        <v>602424049</v>
      </c>
      <c r="AA19" s="190">
        <v>748163649</v>
      </c>
      <c r="AB19" s="190"/>
      <c r="AC19" s="190"/>
      <c r="AD19" s="190"/>
      <c r="AE19" s="190"/>
      <c r="AF19" s="190"/>
      <c r="AG19" s="190"/>
      <c r="AH19" s="190"/>
      <c r="AI19" s="190"/>
      <c r="AJ19" s="190"/>
      <c r="AK19" s="190"/>
      <c r="AL19" s="190"/>
      <c r="AM19" s="190"/>
      <c r="AN19" s="76" t="s">
        <v>204</v>
      </c>
      <c r="AO19" s="76" t="s">
        <v>204</v>
      </c>
      <c r="AP19" s="789"/>
    </row>
    <row r="20" spans="1:42" s="1" customFormat="1" ht="63" customHeight="1">
      <c r="A20" s="754"/>
      <c r="B20" s="754"/>
      <c r="C20" s="753" t="s">
        <v>356</v>
      </c>
      <c r="D20" s="753" t="s">
        <v>93</v>
      </c>
      <c r="E20" s="753" t="s">
        <v>69</v>
      </c>
      <c r="F20" s="753">
        <v>3</v>
      </c>
      <c r="G20" s="754"/>
      <c r="H20" s="71" t="s">
        <v>357</v>
      </c>
      <c r="I20" s="71" t="s">
        <v>93</v>
      </c>
      <c r="J20" s="75" t="s">
        <v>1141</v>
      </c>
      <c r="K20" s="76">
        <v>95</v>
      </c>
      <c r="L20" s="76" t="s">
        <v>98</v>
      </c>
      <c r="M20" s="76">
        <v>23.75</v>
      </c>
      <c r="N20" s="76">
        <f>M20+M20</f>
        <v>47.5</v>
      </c>
      <c r="O20" s="76">
        <f>+N20+M20</f>
        <v>71.25</v>
      </c>
      <c r="P20" s="149">
        <v>0.95</v>
      </c>
      <c r="Q20" s="76">
        <v>2020201</v>
      </c>
      <c r="R20" s="76"/>
      <c r="S20" s="190">
        <v>155500083</v>
      </c>
      <c r="T20" s="190"/>
      <c r="U20" s="190">
        <f t="shared" si="4"/>
        <v>155500083</v>
      </c>
      <c r="V20" s="190">
        <v>14400000</v>
      </c>
      <c r="W20" s="190">
        <v>17500000</v>
      </c>
      <c r="X20" s="190"/>
      <c r="Y20" s="190"/>
      <c r="Z20" s="190">
        <v>85077715</v>
      </c>
      <c r="AA20" s="190">
        <v>17500000</v>
      </c>
      <c r="AB20" s="190"/>
      <c r="AC20" s="190"/>
      <c r="AD20" s="190"/>
      <c r="AE20" s="190"/>
      <c r="AF20" s="190"/>
      <c r="AG20" s="190"/>
      <c r="AH20" s="190"/>
      <c r="AI20" s="190"/>
      <c r="AJ20" s="190"/>
      <c r="AK20" s="190"/>
      <c r="AL20" s="190"/>
      <c r="AM20" s="190"/>
      <c r="AN20" s="76" t="s">
        <v>204</v>
      </c>
      <c r="AO20" s="76" t="s">
        <v>204</v>
      </c>
      <c r="AP20" s="789"/>
    </row>
    <row r="21" spans="1:42" s="1" customFormat="1" ht="115.5" customHeight="1">
      <c r="A21" s="754"/>
      <c r="B21" s="754"/>
      <c r="C21" s="754"/>
      <c r="D21" s="754"/>
      <c r="E21" s="754"/>
      <c r="F21" s="754"/>
      <c r="G21" s="754"/>
      <c r="H21" s="71" t="s">
        <v>360</v>
      </c>
      <c r="I21" s="71" t="s">
        <v>135</v>
      </c>
      <c r="J21" s="75" t="s">
        <v>1142</v>
      </c>
      <c r="K21" s="76">
        <v>32</v>
      </c>
      <c r="L21" s="76" t="s">
        <v>1143</v>
      </c>
      <c r="M21" s="76">
        <v>8</v>
      </c>
      <c r="N21" s="76">
        <v>8</v>
      </c>
      <c r="O21" s="76">
        <v>8</v>
      </c>
      <c r="P21" s="76">
        <v>8</v>
      </c>
      <c r="Q21" s="76">
        <v>2020201</v>
      </c>
      <c r="R21" s="76"/>
      <c r="S21" s="190">
        <v>155500084</v>
      </c>
      <c r="T21" s="190"/>
      <c r="U21" s="190">
        <f t="shared" si="4"/>
        <v>155500084</v>
      </c>
      <c r="V21" s="190">
        <v>0</v>
      </c>
      <c r="W21" s="190">
        <v>9639442</v>
      </c>
      <c r="X21" s="190"/>
      <c r="Y21" s="190"/>
      <c r="Z21" s="190">
        <v>85077715</v>
      </c>
      <c r="AA21" s="190">
        <v>9639442</v>
      </c>
      <c r="AB21" s="190"/>
      <c r="AC21" s="190"/>
      <c r="AD21" s="190"/>
      <c r="AE21" s="190"/>
      <c r="AF21" s="190"/>
      <c r="AG21" s="190"/>
      <c r="AH21" s="190"/>
      <c r="AI21" s="190"/>
      <c r="AJ21" s="190"/>
      <c r="AK21" s="190"/>
      <c r="AL21" s="190"/>
      <c r="AM21" s="190"/>
      <c r="AN21" s="76" t="s">
        <v>204</v>
      </c>
      <c r="AO21" s="76" t="s">
        <v>204</v>
      </c>
      <c r="AP21" s="789"/>
    </row>
    <row r="22" spans="1:42" s="1" customFormat="1" ht="66" customHeight="1">
      <c r="A22" s="755"/>
      <c r="B22" s="755"/>
      <c r="C22" s="755"/>
      <c r="D22" s="755"/>
      <c r="E22" s="755"/>
      <c r="F22" s="755"/>
      <c r="G22" s="755"/>
      <c r="H22" s="71" t="s">
        <v>362</v>
      </c>
      <c r="I22" s="71" t="s">
        <v>93</v>
      </c>
      <c r="J22" s="75" t="s">
        <v>1144</v>
      </c>
      <c r="K22" s="76">
        <v>95</v>
      </c>
      <c r="L22" s="76" t="s">
        <v>98</v>
      </c>
      <c r="M22" s="76">
        <v>10</v>
      </c>
      <c r="N22" s="76">
        <v>25</v>
      </c>
      <c r="O22" s="76">
        <v>50</v>
      </c>
      <c r="P22" s="76">
        <v>95</v>
      </c>
      <c r="Q22" s="76">
        <v>2020201</v>
      </c>
      <c r="R22" s="76"/>
      <c r="S22" s="190">
        <v>100000000</v>
      </c>
      <c r="T22" s="190"/>
      <c r="U22" s="190">
        <f t="shared" si="4"/>
        <v>100000000</v>
      </c>
      <c r="V22" s="190">
        <v>0</v>
      </c>
      <c r="W22" s="190">
        <v>47500000</v>
      </c>
      <c r="X22" s="190"/>
      <c r="Y22" s="190"/>
      <c r="Z22" s="190">
        <v>85077715</v>
      </c>
      <c r="AA22" s="190">
        <v>47500000</v>
      </c>
      <c r="AB22" s="190"/>
      <c r="AC22" s="190"/>
      <c r="AD22" s="190"/>
      <c r="AE22" s="190"/>
      <c r="AF22" s="190"/>
      <c r="AG22" s="190"/>
      <c r="AH22" s="190"/>
      <c r="AI22" s="190"/>
      <c r="AJ22" s="190"/>
      <c r="AK22" s="190"/>
      <c r="AL22" s="190"/>
      <c r="AM22" s="190"/>
      <c r="AN22" s="76" t="s">
        <v>204</v>
      </c>
      <c r="AO22" s="76" t="s">
        <v>204</v>
      </c>
      <c r="AP22" s="790"/>
    </row>
    <row r="23" spans="1:42" s="1" customFormat="1" ht="31.5" customHeight="1">
      <c r="A23" s="1159" t="s">
        <v>979</v>
      </c>
      <c r="B23" s="1160"/>
      <c r="C23" s="1160"/>
      <c r="D23" s="1160"/>
      <c r="E23" s="1160"/>
      <c r="F23" s="1160"/>
      <c r="G23" s="1160"/>
      <c r="H23" s="1160"/>
      <c r="I23" s="1160"/>
      <c r="J23" s="1161"/>
      <c r="K23" s="231">
        <f>K18</f>
        <v>1</v>
      </c>
      <c r="L23" s="231" t="s">
        <v>142</v>
      </c>
      <c r="M23" s="231">
        <f>M18</f>
        <v>0</v>
      </c>
      <c r="N23" s="231">
        <f t="shared" ref="N23:P23" si="9">N18</f>
        <v>0</v>
      </c>
      <c r="O23" s="231">
        <f t="shared" si="9"/>
        <v>0</v>
      </c>
      <c r="P23" s="231">
        <f t="shared" si="9"/>
        <v>1</v>
      </c>
      <c r="Q23" s="231"/>
      <c r="R23" s="231"/>
      <c r="S23" s="1173">
        <f>S22+S21+S20+S19+S18</f>
        <v>1762218738.5</v>
      </c>
      <c r="T23" s="322"/>
      <c r="U23" s="1173">
        <f>U22+U21+U20+U19+U18</f>
        <v>1762218738.5</v>
      </c>
      <c r="V23" s="231">
        <f>V18</f>
        <v>14400000</v>
      </c>
      <c r="W23" s="231">
        <f t="shared" ref="W23:Y23" si="10">W18</f>
        <v>17500000</v>
      </c>
      <c r="X23" s="231">
        <f t="shared" si="10"/>
        <v>0</v>
      </c>
      <c r="Y23" s="231">
        <f t="shared" si="10"/>
        <v>0</v>
      </c>
      <c r="Z23" s="1173">
        <f>Z22+Z21+Z20+Z19+Z18</f>
        <v>886457194</v>
      </c>
      <c r="AA23" s="1173">
        <f t="shared" ref="AA23:AE23" si="11">AA22+AA21+AA20+AA19+AA18</f>
        <v>840303091</v>
      </c>
      <c r="AB23" s="1173">
        <f t="shared" si="11"/>
        <v>0</v>
      </c>
      <c r="AC23" s="1173">
        <f t="shared" si="11"/>
        <v>0</v>
      </c>
      <c r="AD23" s="1173">
        <f t="shared" si="11"/>
        <v>0</v>
      </c>
      <c r="AE23" s="1173">
        <f t="shared" si="11"/>
        <v>0</v>
      </c>
      <c r="AF23" s="201"/>
      <c r="AG23" s="201"/>
      <c r="AH23" s="201"/>
      <c r="AI23" s="201"/>
      <c r="AJ23" s="201"/>
      <c r="AK23" s="201"/>
      <c r="AL23" s="201"/>
      <c r="AM23" s="201"/>
      <c r="AN23" s="198"/>
      <c r="AO23" s="198"/>
      <c r="AP23" s="136"/>
    </row>
    <row r="24" spans="1:42" s="1" customFormat="1" ht="18" customHeight="1">
      <c r="A24" s="1183"/>
      <c r="B24" s="1184"/>
      <c r="C24" s="1184"/>
      <c r="D24" s="1184"/>
      <c r="E24" s="1184"/>
      <c r="F24" s="1184"/>
      <c r="G24" s="1184"/>
      <c r="H24" s="1184"/>
      <c r="I24" s="1184"/>
      <c r="J24" s="1185"/>
      <c r="K24" s="231">
        <v>100</v>
      </c>
      <c r="L24" s="231" t="s">
        <v>98</v>
      </c>
      <c r="M24" s="248">
        <v>1</v>
      </c>
      <c r="N24" s="248">
        <v>1</v>
      </c>
      <c r="O24" s="248">
        <v>1</v>
      </c>
      <c r="P24" s="248">
        <v>1</v>
      </c>
      <c r="Q24" s="231"/>
      <c r="R24" s="231"/>
      <c r="S24" s="1175"/>
      <c r="T24" s="323"/>
      <c r="U24" s="1175"/>
      <c r="V24" s="263">
        <f>AVERAGE(V22+V20+V19)</f>
        <v>203587445</v>
      </c>
      <c r="W24" s="263">
        <f t="shared" ref="W24:Y24" si="12">AVERAGE(W22+W20+W19)</f>
        <v>813163649</v>
      </c>
      <c r="X24" s="263">
        <f t="shared" si="12"/>
        <v>0</v>
      </c>
      <c r="Y24" s="263">
        <f t="shared" si="12"/>
        <v>0</v>
      </c>
      <c r="Z24" s="1175"/>
      <c r="AA24" s="1175"/>
      <c r="AB24" s="1175"/>
      <c r="AC24" s="1175"/>
      <c r="AD24" s="1175"/>
      <c r="AE24" s="1175"/>
      <c r="AF24" s="201"/>
      <c r="AG24" s="201"/>
      <c r="AH24" s="201"/>
      <c r="AI24" s="201"/>
      <c r="AJ24" s="201"/>
      <c r="AK24" s="201"/>
      <c r="AL24" s="201"/>
      <c r="AM24" s="201"/>
      <c r="AN24" s="198"/>
      <c r="AO24" s="198"/>
      <c r="AP24" s="136"/>
    </row>
    <row r="25" spans="1:42" s="1" customFormat="1" ht="22.5" customHeight="1">
      <c r="A25" s="1162"/>
      <c r="B25" s="1163"/>
      <c r="C25" s="1163"/>
      <c r="D25" s="1163"/>
      <c r="E25" s="1163"/>
      <c r="F25" s="1163"/>
      <c r="G25" s="1163"/>
      <c r="H25" s="1163"/>
      <c r="I25" s="1163"/>
      <c r="J25" s="1164"/>
      <c r="K25" s="231">
        <f>K21</f>
        <v>32</v>
      </c>
      <c r="L25" s="231" t="s">
        <v>135</v>
      </c>
      <c r="M25" s="231">
        <f>M21</f>
        <v>8</v>
      </c>
      <c r="N25" s="231">
        <f t="shared" ref="N25:P25" si="13">N21</f>
        <v>8</v>
      </c>
      <c r="O25" s="231">
        <f t="shared" si="13"/>
        <v>8</v>
      </c>
      <c r="P25" s="231">
        <f t="shared" si="13"/>
        <v>8</v>
      </c>
      <c r="Q25" s="231"/>
      <c r="R25" s="231"/>
      <c r="S25" s="1174"/>
      <c r="T25" s="247"/>
      <c r="U25" s="1174"/>
      <c r="V25" s="231">
        <f>V21</f>
        <v>0</v>
      </c>
      <c r="W25" s="231">
        <f t="shared" ref="W25:Y25" si="14">W21</f>
        <v>9639442</v>
      </c>
      <c r="X25" s="231">
        <f t="shared" si="14"/>
        <v>0</v>
      </c>
      <c r="Y25" s="231">
        <f t="shared" si="14"/>
        <v>0</v>
      </c>
      <c r="Z25" s="1174"/>
      <c r="AA25" s="1174"/>
      <c r="AB25" s="1174"/>
      <c r="AC25" s="1174"/>
      <c r="AD25" s="1174"/>
      <c r="AE25" s="1174"/>
      <c r="AF25" s="201"/>
      <c r="AG25" s="201"/>
      <c r="AH25" s="201"/>
      <c r="AI25" s="201"/>
      <c r="AJ25" s="201"/>
      <c r="AK25" s="201"/>
      <c r="AL25" s="201"/>
      <c r="AM25" s="201"/>
      <c r="AN25" s="198"/>
      <c r="AO25" s="198"/>
      <c r="AP25" s="136"/>
    </row>
    <row r="26" spans="1:42" s="1" customFormat="1" ht="96.75" customHeight="1">
      <c r="A26" s="753" t="s">
        <v>365</v>
      </c>
      <c r="B26" s="753" t="s">
        <v>366</v>
      </c>
      <c r="C26" s="753" t="s">
        <v>367</v>
      </c>
      <c r="D26" s="753" t="s">
        <v>93</v>
      </c>
      <c r="E26" s="753" t="s">
        <v>69</v>
      </c>
      <c r="F26" s="753">
        <v>90</v>
      </c>
      <c r="G26" s="753" t="s">
        <v>368</v>
      </c>
      <c r="H26" s="71" t="s">
        <v>369</v>
      </c>
      <c r="I26" s="71" t="s">
        <v>72</v>
      </c>
      <c r="J26" s="91" t="s">
        <v>1145</v>
      </c>
      <c r="K26" s="79">
        <v>30</v>
      </c>
      <c r="L26" s="79" t="s">
        <v>98</v>
      </c>
      <c r="M26" s="79">
        <v>0</v>
      </c>
      <c r="N26" s="79">
        <v>5</v>
      </c>
      <c r="O26" s="79">
        <v>15</v>
      </c>
      <c r="P26" s="79">
        <v>30</v>
      </c>
      <c r="Q26" s="141" t="s">
        <v>1146</v>
      </c>
      <c r="R26" s="79"/>
      <c r="S26" s="190">
        <f>1800000000+30000000</f>
        <v>1830000000</v>
      </c>
      <c r="T26" s="182">
        <f>814580337-312000000</f>
        <v>502580337</v>
      </c>
      <c r="U26" s="182">
        <f>+S26+T26</f>
        <v>2332580337</v>
      </c>
      <c r="V26" s="190">
        <v>93349967</v>
      </c>
      <c r="W26" s="190">
        <v>490464744</v>
      </c>
      <c r="X26" s="190"/>
      <c r="Y26" s="190"/>
      <c r="Z26" s="190">
        <v>94538182</v>
      </c>
      <c r="AA26" s="190">
        <v>490464744</v>
      </c>
      <c r="AB26" s="190"/>
      <c r="AC26" s="190"/>
      <c r="AD26" s="190"/>
      <c r="AE26" s="190"/>
      <c r="AF26" s="190"/>
      <c r="AG26" s="190"/>
      <c r="AH26" s="190"/>
      <c r="AI26" s="190"/>
      <c r="AJ26" s="190"/>
      <c r="AK26" s="190"/>
      <c r="AL26" s="190"/>
      <c r="AM26" s="190"/>
      <c r="AN26" s="76" t="s">
        <v>204</v>
      </c>
      <c r="AO26" s="76" t="s">
        <v>204</v>
      </c>
      <c r="AP26" s="788" t="s">
        <v>373</v>
      </c>
    </row>
    <row r="27" spans="1:42" s="1" customFormat="1" ht="60" customHeight="1">
      <c r="A27" s="754"/>
      <c r="B27" s="754"/>
      <c r="C27" s="754"/>
      <c r="D27" s="754"/>
      <c r="E27" s="754"/>
      <c r="F27" s="754"/>
      <c r="G27" s="754"/>
      <c r="H27" s="71" t="s">
        <v>919</v>
      </c>
      <c r="I27" s="71" t="s">
        <v>72</v>
      </c>
      <c r="J27" s="73" t="s">
        <v>1147</v>
      </c>
      <c r="K27" s="76">
        <v>1</v>
      </c>
      <c r="L27" s="76" t="s">
        <v>352</v>
      </c>
      <c r="M27" s="76">
        <v>0</v>
      </c>
      <c r="N27" s="76">
        <v>1</v>
      </c>
      <c r="O27" s="76">
        <v>0</v>
      </c>
      <c r="P27" s="76">
        <v>0</v>
      </c>
      <c r="Q27" s="77" t="s">
        <v>1148</v>
      </c>
      <c r="R27" s="76"/>
      <c r="S27" s="190">
        <v>700000000</v>
      </c>
      <c r="T27" s="190"/>
      <c r="U27" s="182">
        <f t="shared" ref="U27:U31" si="15">+S27+T27</f>
        <v>700000000</v>
      </c>
      <c r="V27" s="190">
        <v>0</v>
      </c>
      <c r="W27" s="190">
        <v>147148509</v>
      </c>
      <c r="X27" s="190"/>
      <c r="Y27" s="190"/>
      <c r="Z27" s="190">
        <v>0</v>
      </c>
      <c r="AA27" s="190">
        <v>147148509</v>
      </c>
      <c r="AB27" s="190"/>
      <c r="AC27" s="190"/>
      <c r="AD27" s="190"/>
      <c r="AE27" s="190"/>
      <c r="AF27" s="190"/>
      <c r="AG27" s="190"/>
      <c r="AH27" s="190"/>
      <c r="AI27" s="190"/>
      <c r="AJ27" s="190"/>
      <c r="AK27" s="190"/>
      <c r="AL27" s="190"/>
      <c r="AM27" s="190"/>
      <c r="AN27" s="76" t="s">
        <v>204</v>
      </c>
      <c r="AO27" s="76" t="s">
        <v>204</v>
      </c>
      <c r="AP27" s="789"/>
    </row>
    <row r="28" spans="1:42" s="1" customFormat="1" ht="81" customHeight="1" thickBot="1">
      <c r="A28" s="754"/>
      <c r="B28" s="754"/>
      <c r="C28" s="754"/>
      <c r="D28" s="754"/>
      <c r="E28" s="754"/>
      <c r="F28" s="754"/>
      <c r="G28" s="754"/>
      <c r="H28" s="71" t="s">
        <v>920</v>
      </c>
      <c r="I28" s="71" t="s">
        <v>72</v>
      </c>
      <c r="J28" s="73" t="s">
        <v>1149</v>
      </c>
      <c r="K28" s="76">
        <v>1</v>
      </c>
      <c r="L28" s="76" t="s">
        <v>352</v>
      </c>
      <c r="M28" s="76">
        <v>0</v>
      </c>
      <c r="N28" s="76">
        <v>0</v>
      </c>
      <c r="O28" s="76">
        <v>0</v>
      </c>
      <c r="P28" s="76">
        <v>1</v>
      </c>
      <c r="Q28" s="77"/>
      <c r="R28" s="76"/>
      <c r="S28" s="190">
        <v>59535000</v>
      </c>
      <c r="T28" s="190"/>
      <c r="U28" s="182">
        <f t="shared" si="15"/>
        <v>59535000</v>
      </c>
      <c r="V28" s="190">
        <v>0</v>
      </c>
      <c r="W28" s="190">
        <v>0</v>
      </c>
      <c r="X28" s="190"/>
      <c r="Y28" s="190"/>
      <c r="Z28" s="190">
        <v>0</v>
      </c>
      <c r="AA28" s="190">
        <v>0</v>
      </c>
      <c r="AB28" s="190"/>
      <c r="AC28" s="190"/>
      <c r="AD28" s="190"/>
      <c r="AE28" s="190"/>
      <c r="AF28" s="190"/>
      <c r="AG28" s="190"/>
      <c r="AH28" s="190"/>
      <c r="AI28" s="190"/>
      <c r="AJ28" s="190"/>
      <c r="AK28" s="190"/>
      <c r="AL28" s="190"/>
      <c r="AM28" s="190"/>
      <c r="AN28" s="76" t="s">
        <v>204</v>
      </c>
      <c r="AO28" s="76" t="s">
        <v>204</v>
      </c>
      <c r="AP28" s="789"/>
    </row>
    <row r="29" spans="1:42" s="1" customFormat="1" ht="81" customHeight="1">
      <c r="A29" s="754"/>
      <c r="B29" s="754"/>
      <c r="C29" s="754"/>
      <c r="D29" s="754"/>
      <c r="E29" s="754"/>
      <c r="F29" s="754"/>
      <c r="G29" s="754"/>
      <c r="H29" s="78" t="s">
        <v>922</v>
      </c>
      <c r="I29" s="71" t="s">
        <v>93</v>
      </c>
      <c r="J29" s="75" t="s">
        <v>1150</v>
      </c>
      <c r="K29" s="76">
        <v>100</v>
      </c>
      <c r="L29" s="76" t="s">
        <v>98</v>
      </c>
      <c r="M29" s="269">
        <v>0</v>
      </c>
      <c r="N29" s="269">
        <v>50</v>
      </c>
      <c r="O29" s="269"/>
      <c r="P29" s="269">
        <v>100</v>
      </c>
      <c r="Q29" s="77" t="s">
        <v>1151</v>
      </c>
      <c r="R29" s="76"/>
      <c r="S29" s="190">
        <v>300000000</v>
      </c>
      <c r="T29" s="190"/>
      <c r="U29" s="182">
        <f t="shared" si="15"/>
        <v>300000000</v>
      </c>
      <c r="V29" s="190">
        <v>79593150</v>
      </c>
      <c r="W29" s="190">
        <v>114973257</v>
      </c>
      <c r="X29" s="190"/>
      <c r="Y29" s="190"/>
      <c r="Z29" s="190">
        <f>179306952-40000000</f>
        <v>139306952</v>
      </c>
      <c r="AA29" s="190">
        <v>114973257</v>
      </c>
      <c r="AB29" s="190"/>
      <c r="AC29" s="190"/>
      <c r="AD29" s="190"/>
      <c r="AE29" s="190"/>
      <c r="AF29" s="190"/>
      <c r="AG29" s="190"/>
      <c r="AH29" s="190"/>
      <c r="AI29" s="190"/>
      <c r="AJ29" s="190"/>
      <c r="AK29" s="190"/>
      <c r="AL29" s="190"/>
      <c r="AM29" s="190"/>
      <c r="AN29" s="76" t="s">
        <v>204</v>
      </c>
      <c r="AO29" s="76" t="s">
        <v>204</v>
      </c>
      <c r="AP29" s="789"/>
    </row>
    <row r="30" spans="1:42" s="1" customFormat="1" ht="101.25" customHeight="1">
      <c r="A30" s="754"/>
      <c r="B30" s="754"/>
      <c r="C30" s="755"/>
      <c r="D30" s="755"/>
      <c r="E30" s="755"/>
      <c r="F30" s="755"/>
      <c r="G30" s="754"/>
      <c r="H30" s="71" t="s">
        <v>374</v>
      </c>
      <c r="I30" s="71" t="s">
        <v>93</v>
      </c>
      <c r="J30" s="73" t="s">
        <v>1152</v>
      </c>
      <c r="K30" s="76">
        <v>100</v>
      </c>
      <c r="L30" s="76" t="s">
        <v>98</v>
      </c>
      <c r="M30" s="269">
        <v>25</v>
      </c>
      <c r="N30" s="269">
        <v>50</v>
      </c>
      <c r="O30" s="269">
        <v>75</v>
      </c>
      <c r="P30" s="269">
        <v>100</v>
      </c>
      <c r="Q30" s="77" t="s">
        <v>1148</v>
      </c>
      <c r="R30" s="76"/>
      <c r="S30" s="190">
        <v>40000000</v>
      </c>
      <c r="T30" s="190"/>
      <c r="U30" s="182">
        <f t="shared" si="15"/>
        <v>40000000</v>
      </c>
      <c r="V30" s="190">
        <v>0</v>
      </c>
      <c r="W30" s="190">
        <v>0</v>
      </c>
      <c r="X30" s="190"/>
      <c r="Y30" s="190"/>
      <c r="Z30" s="190">
        <v>40000000</v>
      </c>
      <c r="AA30" s="190">
        <v>0</v>
      </c>
      <c r="AB30" s="190"/>
      <c r="AC30" s="190"/>
      <c r="AD30" s="190"/>
      <c r="AE30" s="190"/>
      <c r="AF30" s="190"/>
      <c r="AG30" s="190"/>
      <c r="AH30" s="190"/>
      <c r="AI30" s="190"/>
      <c r="AJ30" s="190"/>
      <c r="AK30" s="190"/>
      <c r="AL30" s="190"/>
      <c r="AM30" s="190"/>
      <c r="AN30" s="76" t="s">
        <v>204</v>
      </c>
      <c r="AO30" s="76" t="s">
        <v>204</v>
      </c>
      <c r="AP30" s="789"/>
    </row>
    <row r="31" spans="1:42" s="1" customFormat="1" ht="56.25" customHeight="1" thickBot="1">
      <c r="A31" s="806"/>
      <c r="B31" s="806"/>
      <c r="C31" s="79" t="s">
        <v>376</v>
      </c>
      <c r="D31" s="79" t="s">
        <v>93</v>
      </c>
      <c r="E31" s="80" t="s">
        <v>69</v>
      </c>
      <c r="F31" s="79">
        <v>75</v>
      </c>
      <c r="G31" s="806"/>
      <c r="H31" s="80" t="s">
        <v>377</v>
      </c>
      <c r="I31" s="80" t="s">
        <v>93</v>
      </c>
      <c r="J31" s="91" t="s">
        <v>1153</v>
      </c>
      <c r="K31" s="269">
        <v>70</v>
      </c>
      <c r="L31" s="79" t="s">
        <v>98</v>
      </c>
      <c r="M31" s="269">
        <v>0</v>
      </c>
      <c r="N31" s="269">
        <v>10</v>
      </c>
      <c r="O31" s="269">
        <v>30</v>
      </c>
      <c r="P31" s="269">
        <v>70</v>
      </c>
      <c r="Q31" s="79" t="s">
        <v>1154</v>
      </c>
      <c r="R31" s="79"/>
      <c r="S31" s="190">
        <v>167000000</v>
      </c>
      <c r="T31" s="182">
        <v>0</v>
      </c>
      <c r="U31" s="182">
        <f t="shared" si="15"/>
        <v>167000000</v>
      </c>
      <c r="V31" s="190">
        <v>46912886</v>
      </c>
      <c r="W31" s="190">
        <v>70828800</v>
      </c>
      <c r="X31" s="190"/>
      <c r="Y31" s="190"/>
      <c r="Z31" s="190">
        <v>0</v>
      </c>
      <c r="AA31" s="190">
        <v>70828800</v>
      </c>
      <c r="AB31" s="190"/>
      <c r="AC31" s="190"/>
      <c r="AD31" s="190"/>
      <c r="AE31" s="190"/>
      <c r="AF31" s="190"/>
      <c r="AG31" s="190"/>
      <c r="AH31" s="190"/>
      <c r="AI31" s="190"/>
      <c r="AJ31" s="190"/>
      <c r="AK31" s="190"/>
      <c r="AL31" s="190"/>
      <c r="AM31" s="190"/>
      <c r="AN31" s="76" t="s">
        <v>204</v>
      </c>
      <c r="AO31" s="76" t="s">
        <v>204</v>
      </c>
      <c r="AP31" s="790"/>
    </row>
    <row r="32" spans="1:42" s="1" customFormat="1" ht="24" customHeight="1">
      <c r="A32" s="1159" t="s">
        <v>979</v>
      </c>
      <c r="B32" s="1160"/>
      <c r="C32" s="1160"/>
      <c r="D32" s="1160"/>
      <c r="E32" s="1160"/>
      <c r="F32" s="1160"/>
      <c r="G32" s="1160"/>
      <c r="H32" s="1160"/>
      <c r="I32" s="1160"/>
      <c r="J32" s="1161"/>
      <c r="K32" s="198">
        <f>K28+K27</f>
        <v>2</v>
      </c>
      <c r="L32" s="198" t="s">
        <v>142</v>
      </c>
      <c r="M32" s="198">
        <f t="shared" ref="M32:P32" si="16">M28+M27</f>
        <v>0</v>
      </c>
      <c r="N32" s="198">
        <f t="shared" si="16"/>
        <v>1</v>
      </c>
      <c r="O32" s="198">
        <f t="shared" si="16"/>
        <v>0</v>
      </c>
      <c r="P32" s="198">
        <f t="shared" si="16"/>
        <v>1</v>
      </c>
      <c r="Q32" s="198"/>
      <c r="R32" s="198"/>
      <c r="S32" s="1173">
        <f>S31+S30+S29+S28+S27+S26</f>
        <v>3096535000</v>
      </c>
      <c r="T32" s="322"/>
      <c r="U32" s="1173">
        <f>U31+U30+U29+U28+U27+U26</f>
        <v>3599115337</v>
      </c>
      <c r="V32" s="198">
        <f>V28+V27</f>
        <v>0</v>
      </c>
      <c r="W32" s="198">
        <f>W28+W27</f>
        <v>147148509</v>
      </c>
      <c r="X32" s="198">
        <f>X28+X27</f>
        <v>0</v>
      </c>
      <c r="Y32" s="198">
        <f>Y28+Y27</f>
        <v>0</v>
      </c>
      <c r="Z32" s="1173">
        <f>Z31+Z30+Z29+Z28+Z27+Z26</f>
        <v>273845134</v>
      </c>
      <c r="AA32" s="1173">
        <f>AA31+AA30+AA29+AA28+AA27+AA26</f>
        <v>823415310</v>
      </c>
      <c r="AB32" s="1173">
        <f>AB31+AB30+AB29+AB28+AB27+AB26</f>
        <v>0</v>
      </c>
      <c r="AC32" s="1173">
        <f>AC31+AC30+AC29+AC28+AC27+AC26</f>
        <v>0</v>
      </c>
      <c r="AD32" s="201"/>
      <c r="AE32" s="201"/>
      <c r="AF32" s="201"/>
      <c r="AG32" s="201"/>
      <c r="AH32" s="201"/>
      <c r="AI32" s="201"/>
      <c r="AJ32" s="201"/>
      <c r="AK32" s="201"/>
      <c r="AL32" s="201"/>
      <c r="AM32" s="201"/>
      <c r="AN32" s="198"/>
      <c r="AO32" s="198"/>
    </row>
    <row r="33" spans="1:41" s="1" customFormat="1" ht="30" customHeight="1">
      <c r="A33" s="1162"/>
      <c r="B33" s="1163"/>
      <c r="C33" s="1163"/>
      <c r="D33" s="1163"/>
      <c r="E33" s="1163"/>
      <c r="F33" s="1163"/>
      <c r="G33" s="1163"/>
      <c r="H33" s="1163"/>
      <c r="I33" s="1163"/>
      <c r="J33" s="1164"/>
      <c r="K33" s="198">
        <v>100</v>
      </c>
      <c r="L33" s="198" t="s">
        <v>93</v>
      </c>
      <c r="M33" s="198">
        <v>100</v>
      </c>
      <c r="N33" s="198">
        <v>100</v>
      </c>
      <c r="O33" s="198">
        <v>100</v>
      </c>
      <c r="P33" s="198">
        <v>100</v>
      </c>
      <c r="Q33" s="198"/>
      <c r="R33" s="198"/>
      <c r="S33" s="1174"/>
      <c r="T33" s="247"/>
      <c r="U33" s="1174"/>
      <c r="V33" s="326">
        <f>AVERAGE(V31+V30+V29+V26)</f>
        <v>219856003</v>
      </c>
      <c r="W33" s="326">
        <f t="shared" ref="W33:Y33" si="17">AVERAGE(W31+W30+W29+W26)</f>
        <v>676266801</v>
      </c>
      <c r="X33" s="263">
        <f t="shared" si="17"/>
        <v>0</v>
      </c>
      <c r="Y33" s="263">
        <f t="shared" si="17"/>
        <v>0</v>
      </c>
      <c r="Z33" s="1174"/>
      <c r="AA33" s="1174"/>
      <c r="AB33" s="1174"/>
      <c r="AC33" s="1174"/>
      <c r="AD33" s="201"/>
      <c r="AE33" s="201"/>
      <c r="AF33" s="201"/>
      <c r="AG33" s="201"/>
      <c r="AH33" s="201"/>
      <c r="AI33" s="201"/>
      <c r="AJ33" s="201"/>
      <c r="AK33" s="201"/>
      <c r="AL33" s="201"/>
      <c r="AM33" s="201"/>
      <c r="AN33" s="198"/>
      <c r="AO33" s="198"/>
    </row>
    <row r="34" spans="1:41" s="1" customFormat="1">
      <c r="A34" s="3"/>
      <c r="B34" s="3"/>
      <c r="C34" s="3"/>
      <c r="D34" s="3"/>
      <c r="E34" s="3"/>
      <c r="F34" s="3"/>
      <c r="G34" s="3"/>
      <c r="H34" s="3"/>
      <c r="I34" s="3"/>
      <c r="J34" s="5"/>
      <c r="K34" s="3"/>
      <c r="L34" s="3"/>
      <c r="M34" s="3"/>
      <c r="N34" s="3"/>
      <c r="O34" s="3"/>
      <c r="P34" s="3"/>
      <c r="Q34" s="3">
        <v>59707696938</v>
      </c>
      <c r="R34" s="3"/>
      <c r="S34" s="7"/>
      <c r="T34" s="7"/>
      <c r="U34" s="11" t="e">
        <f>#REF!-#REF!</f>
        <v>#REF!</v>
      </c>
      <c r="V34" s="11"/>
      <c r="W34" s="11"/>
      <c r="X34" s="11"/>
      <c r="Y34" s="11"/>
      <c r="Z34" s="11"/>
      <c r="AA34" s="11"/>
      <c r="AB34" s="11"/>
      <c r="AC34" s="11"/>
      <c r="AD34" s="11"/>
      <c r="AE34" s="11"/>
      <c r="AF34" s="11"/>
      <c r="AG34" s="11"/>
      <c r="AH34" s="11"/>
      <c r="AI34" s="11"/>
      <c r="AJ34" s="11"/>
      <c r="AK34" s="11"/>
      <c r="AL34" s="11"/>
      <c r="AM34" s="11"/>
      <c r="AN34" s="3"/>
      <c r="AO34" s="3"/>
    </row>
    <row r="35" spans="1:41" s="1" customFormat="1">
      <c r="A35" s="3"/>
      <c r="B35" s="3"/>
      <c r="C35" s="3"/>
      <c r="D35" s="3"/>
      <c r="E35" s="3"/>
      <c r="F35" s="3"/>
      <c r="G35" s="3"/>
      <c r="H35" s="3"/>
      <c r="I35" s="3"/>
      <c r="J35" s="5"/>
      <c r="K35" s="3"/>
      <c r="L35" s="3"/>
      <c r="M35" s="3"/>
      <c r="N35" s="3"/>
      <c r="O35" s="3"/>
      <c r="P35" s="3"/>
      <c r="Q35" s="3">
        <f>+Q33-Q34</f>
        <v>-59707696938</v>
      </c>
      <c r="R35" s="3"/>
      <c r="S35" s="7"/>
      <c r="T35" s="7"/>
      <c r="U35" s="7"/>
      <c r="V35" s="7"/>
      <c r="W35" s="7"/>
      <c r="X35" s="7"/>
      <c r="Y35" s="7"/>
      <c r="Z35" s="7"/>
      <c r="AA35" s="7"/>
      <c r="AB35" s="7"/>
      <c r="AC35" s="7"/>
      <c r="AD35" s="7"/>
      <c r="AE35" s="7"/>
      <c r="AF35" s="7"/>
      <c r="AG35" s="7"/>
      <c r="AH35" s="7"/>
      <c r="AI35" s="7"/>
      <c r="AJ35" s="7"/>
      <c r="AK35" s="7"/>
      <c r="AL35" s="7"/>
      <c r="AM35" s="7"/>
      <c r="AN35" s="3"/>
      <c r="AO35" s="3"/>
    </row>
    <row r="36" spans="1:41" s="1" customFormat="1">
      <c r="A36" s="3"/>
      <c r="B36" s="3"/>
      <c r="C36" s="3"/>
      <c r="D36" s="3"/>
      <c r="E36" s="3"/>
      <c r="F36" s="3"/>
      <c r="G36" s="3"/>
      <c r="H36" s="3"/>
      <c r="I36" s="3"/>
      <c r="J36" s="5"/>
      <c r="K36" s="3"/>
      <c r="L36" s="3"/>
      <c r="M36" s="3"/>
      <c r="N36" s="3"/>
      <c r="O36" s="3"/>
      <c r="P36" s="3"/>
      <c r="Q36" s="3"/>
      <c r="R36" s="3"/>
      <c r="S36" s="7"/>
      <c r="T36" s="7"/>
      <c r="U36" s="7"/>
      <c r="V36" s="7"/>
      <c r="W36" s="7"/>
      <c r="X36" s="7"/>
      <c r="Y36" s="7"/>
      <c r="Z36" s="7"/>
      <c r="AA36" s="7"/>
      <c r="AB36" s="7"/>
      <c r="AC36" s="7"/>
      <c r="AD36" s="7"/>
      <c r="AE36" s="7"/>
      <c r="AF36" s="7"/>
      <c r="AG36" s="7"/>
      <c r="AH36" s="7"/>
      <c r="AI36" s="7"/>
      <c r="AJ36" s="7"/>
      <c r="AK36" s="7"/>
      <c r="AL36" s="7"/>
      <c r="AM36" s="7"/>
      <c r="AN36" s="3"/>
      <c r="AO36" s="3"/>
    </row>
    <row r="37" spans="1:41" s="1" customFormat="1" ht="15" customHeight="1">
      <c r="A37" s="1167" t="s">
        <v>995</v>
      </c>
      <c r="B37" s="1168"/>
      <c r="C37" s="1168"/>
      <c r="D37" s="1168"/>
      <c r="E37" s="1168"/>
      <c r="F37" s="1168"/>
      <c r="G37" s="1168"/>
      <c r="H37" s="1168"/>
      <c r="I37" s="1168"/>
      <c r="J37" s="1168"/>
      <c r="K37" s="1169"/>
      <c r="Q37" s="3"/>
      <c r="R37" s="3"/>
      <c r="S37" s="7"/>
      <c r="T37" s="7"/>
      <c r="U37" s="7" t="e">
        <f>#REF!-U40</f>
        <v>#REF!</v>
      </c>
      <c r="V37" s="7"/>
      <c r="W37" s="7"/>
      <c r="X37" s="7"/>
      <c r="Y37" s="7"/>
      <c r="Z37" s="7"/>
      <c r="AA37" s="7"/>
      <c r="AB37" s="7"/>
      <c r="AC37" s="7"/>
      <c r="AD37" s="7"/>
      <c r="AE37" s="7"/>
      <c r="AF37" s="7"/>
      <c r="AG37" s="7"/>
      <c r="AH37" s="7"/>
      <c r="AI37" s="7"/>
      <c r="AJ37" s="7"/>
      <c r="AK37" s="7"/>
      <c r="AL37" s="7"/>
      <c r="AM37" s="7"/>
      <c r="AN37" s="3"/>
      <c r="AO37" s="3"/>
    </row>
    <row r="38" spans="1:41" s="1" customFormat="1" ht="60">
      <c r="A38" s="223" t="s">
        <v>996</v>
      </c>
      <c r="B38" s="224" t="s">
        <v>997</v>
      </c>
      <c r="C38" s="224" t="s">
        <v>998</v>
      </c>
      <c r="D38" s="224" t="s">
        <v>660</v>
      </c>
      <c r="E38" s="224" t="s">
        <v>999</v>
      </c>
      <c r="F38" s="224" t="s">
        <v>660</v>
      </c>
      <c r="G38" s="224" t="s">
        <v>1000</v>
      </c>
      <c r="H38" s="224" t="s">
        <v>660</v>
      </c>
      <c r="I38" s="224"/>
      <c r="J38" s="224" t="s">
        <v>1001</v>
      </c>
      <c r="K38" s="224" t="s">
        <v>660</v>
      </c>
      <c r="Q38" s="13" t="e">
        <f>Q34-#REF!</f>
        <v>#REF!</v>
      </c>
      <c r="R38" s="3"/>
      <c r="S38" s="7"/>
      <c r="T38" s="7"/>
      <c r="U38" s="7"/>
      <c r="V38" s="7"/>
      <c r="W38" s="7"/>
      <c r="X38" s="7"/>
      <c r="Y38" s="7"/>
      <c r="Z38" s="7"/>
      <c r="AA38" s="7"/>
      <c r="AB38" s="7"/>
      <c r="AC38" s="7"/>
      <c r="AD38" s="7"/>
      <c r="AE38" s="7"/>
      <c r="AF38" s="7"/>
      <c r="AG38" s="7"/>
      <c r="AH38" s="7"/>
      <c r="AI38" s="7"/>
      <c r="AJ38" s="7"/>
      <c r="AK38" s="7"/>
      <c r="AL38" s="7"/>
      <c r="AM38" s="7"/>
      <c r="AN38" s="3"/>
      <c r="AO38" s="3"/>
    </row>
    <row r="39" spans="1:41" s="1" customFormat="1">
      <c r="A39" s="213" t="s">
        <v>1002</v>
      </c>
      <c r="B39" s="213">
        <f>K11</f>
        <v>1</v>
      </c>
      <c r="C39" s="213">
        <f>V11</f>
        <v>0</v>
      </c>
      <c r="D39" s="220">
        <f>B39*C39/100</f>
        <v>0</v>
      </c>
      <c r="E39" s="213">
        <f>W11</f>
        <v>0</v>
      </c>
      <c r="F39" s="220">
        <f>B39*E39/100</f>
        <v>0</v>
      </c>
      <c r="G39" s="213">
        <f>X16</f>
        <v>0</v>
      </c>
      <c r="H39" s="220">
        <f>B39*G39/100</f>
        <v>0</v>
      </c>
      <c r="I39" s="214"/>
      <c r="J39" s="213">
        <f>Y11</f>
        <v>0</v>
      </c>
      <c r="K39" s="220">
        <f>B39*J39/100</f>
        <v>0</v>
      </c>
      <c r="Q39" s="3"/>
      <c r="R39" s="14" t="e">
        <f>U40-#REF!</f>
        <v>#REF!</v>
      </c>
      <c r="S39" s="7"/>
      <c r="T39" s="7"/>
      <c r="U39" s="7"/>
      <c r="V39" s="7"/>
      <c r="W39" s="7"/>
      <c r="X39" s="7"/>
      <c r="Y39" s="7"/>
      <c r="Z39" s="7"/>
      <c r="AA39" s="7"/>
      <c r="AB39" s="7"/>
      <c r="AC39" s="7"/>
      <c r="AD39" s="7"/>
      <c r="AE39" s="7"/>
      <c r="AF39" s="7"/>
      <c r="AG39" s="7"/>
      <c r="AH39" s="7"/>
      <c r="AI39" s="7"/>
      <c r="AJ39" s="7"/>
      <c r="AK39" s="7"/>
      <c r="AL39" s="7"/>
      <c r="AM39" s="7"/>
      <c r="AN39" s="3"/>
      <c r="AO39" s="3"/>
    </row>
    <row r="40" spans="1:41" s="1" customFormat="1" ht="23.25">
      <c r="A40" s="213" t="s">
        <v>93</v>
      </c>
      <c r="B40" s="213">
        <f>K12</f>
        <v>100</v>
      </c>
      <c r="C40" s="220">
        <f>V12</f>
        <v>14156648</v>
      </c>
      <c r="D40" s="220">
        <f>B40*C40/100</f>
        <v>14156648</v>
      </c>
      <c r="E40" s="220">
        <f>W12</f>
        <v>0</v>
      </c>
      <c r="F40" s="220">
        <f>B40*E40/100</f>
        <v>0</v>
      </c>
      <c r="G40" s="220">
        <f>X17</f>
        <v>0</v>
      </c>
      <c r="H40" s="220">
        <f>B40*G40/100</f>
        <v>0</v>
      </c>
      <c r="I40" s="214"/>
      <c r="J40" s="213">
        <f>Y12</f>
        <v>0</v>
      </c>
      <c r="K40" s="220">
        <f>B40*J40/100</f>
        <v>0</v>
      </c>
      <c r="Q40" s="3"/>
      <c r="R40" s="3"/>
      <c r="S40" s="7"/>
      <c r="T40" s="7"/>
      <c r="U40" s="12">
        <v>90692582257</v>
      </c>
      <c r="V40" s="202"/>
      <c r="W40" s="202"/>
      <c r="X40" s="202"/>
      <c r="Y40" s="202"/>
      <c r="Z40" s="202"/>
      <c r="AA40" s="202"/>
      <c r="AB40" s="202"/>
      <c r="AC40" s="202"/>
      <c r="AD40" s="202"/>
      <c r="AE40" s="202"/>
      <c r="AF40" s="202"/>
      <c r="AG40" s="202"/>
      <c r="AH40" s="202"/>
      <c r="AI40" s="202"/>
      <c r="AJ40" s="202"/>
      <c r="AK40" s="202"/>
      <c r="AL40" s="202"/>
      <c r="AM40" s="202"/>
      <c r="AN40" s="13" t="e">
        <f>U40-#REF!</f>
        <v>#REF!</v>
      </c>
      <c r="AO40" s="3"/>
    </row>
    <row r="41" spans="1:41" s="1" customFormat="1">
      <c r="A41" s="3"/>
      <c r="B41" s="3"/>
      <c r="C41" s="3"/>
      <c r="D41" s="3"/>
      <c r="E41" s="3"/>
      <c r="F41" s="3"/>
      <c r="G41" s="3"/>
      <c r="H41" s="3"/>
      <c r="J41" s="3"/>
      <c r="K41" s="3"/>
      <c r="Q41" s="3"/>
      <c r="R41" s="3"/>
      <c r="S41" s="7"/>
      <c r="T41" s="7"/>
      <c r="U41" s="7"/>
      <c r="V41" s="7"/>
      <c r="W41" s="7"/>
      <c r="X41" s="7"/>
      <c r="Y41" s="7"/>
      <c r="Z41" s="7"/>
      <c r="AA41" s="7"/>
      <c r="AB41" s="7"/>
      <c r="AC41" s="7"/>
      <c r="AD41" s="7"/>
      <c r="AE41" s="7"/>
      <c r="AF41" s="7"/>
      <c r="AG41" s="7"/>
      <c r="AH41" s="7"/>
      <c r="AI41" s="7"/>
      <c r="AJ41" s="7"/>
      <c r="AK41" s="7"/>
      <c r="AL41" s="7"/>
      <c r="AM41" s="7"/>
      <c r="AN41" s="3"/>
      <c r="AO41" s="3"/>
    </row>
    <row r="42" spans="1:41" s="1" customFormat="1" ht="15" customHeight="1">
      <c r="A42" s="1170" t="s">
        <v>1003</v>
      </c>
      <c r="B42" s="1171"/>
      <c r="C42" s="1171"/>
      <c r="D42" s="1171"/>
      <c r="E42" s="1171"/>
      <c r="F42" s="1171"/>
      <c r="G42" s="1171"/>
      <c r="H42" s="1171"/>
      <c r="I42" s="1171"/>
      <c r="J42" s="1172"/>
      <c r="K42" s="3"/>
      <c r="Q42" s="13" t="e">
        <f>#REF!-Q34</f>
        <v>#REF!</v>
      </c>
      <c r="R42" s="3"/>
      <c r="S42" s="7"/>
      <c r="T42" s="7"/>
      <c r="U42" s="7"/>
      <c r="V42" s="7"/>
      <c r="W42" s="7"/>
      <c r="X42" s="7"/>
      <c r="Y42" s="7"/>
      <c r="Z42" s="7"/>
      <c r="AA42" s="7"/>
      <c r="AB42" s="7"/>
      <c r="AC42" s="7"/>
      <c r="AD42" s="7"/>
      <c r="AE42" s="7"/>
      <c r="AF42" s="7"/>
      <c r="AG42" s="7"/>
      <c r="AH42" s="7"/>
      <c r="AI42" s="7"/>
      <c r="AJ42" s="7"/>
      <c r="AK42" s="7"/>
      <c r="AL42" s="7"/>
      <c r="AM42" s="7"/>
      <c r="AN42" s="3"/>
      <c r="AO42" s="3"/>
    </row>
    <row r="43" spans="1:41" s="1" customFormat="1" ht="45">
      <c r="A43" s="221" t="s">
        <v>674</v>
      </c>
      <c r="B43" s="221" t="s">
        <v>1004</v>
      </c>
      <c r="C43" s="221" t="s">
        <v>660</v>
      </c>
      <c r="D43" s="221" t="s">
        <v>1005</v>
      </c>
      <c r="E43" s="221" t="s">
        <v>660</v>
      </c>
      <c r="F43" s="221" t="s">
        <v>1006</v>
      </c>
      <c r="G43" s="221" t="s">
        <v>660</v>
      </c>
      <c r="H43" s="221" t="s">
        <v>1007</v>
      </c>
      <c r="I43" s="222"/>
      <c r="J43" s="221" t="s">
        <v>660</v>
      </c>
      <c r="K43" s="3"/>
      <c r="Q43" s="3"/>
      <c r="R43" s="3"/>
      <c r="S43" s="7"/>
      <c r="T43" s="7"/>
      <c r="U43" s="7"/>
      <c r="V43" s="7"/>
      <c r="W43" s="7"/>
      <c r="X43" s="7"/>
      <c r="Y43" s="7"/>
      <c r="Z43" s="7"/>
      <c r="AA43" s="7"/>
      <c r="AB43" s="7"/>
      <c r="AC43" s="7"/>
      <c r="AD43" s="7"/>
      <c r="AE43" s="7"/>
      <c r="AF43" s="7"/>
      <c r="AG43" s="7"/>
      <c r="AH43" s="7"/>
      <c r="AI43" s="7"/>
      <c r="AJ43" s="7"/>
      <c r="AK43" s="7"/>
      <c r="AL43" s="7"/>
      <c r="AM43" s="7"/>
      <c r="AN43" s="3"/>
      <c r="AO43" s="3"/>
    </row>
    <row r="44" spans="1:41" s="1" customFormat="1">
      <c r="A44" s="217">
        <f>U11</f>
        <v>90341227.37184</v>
      </c>
      <c r="B44" s="217">
        <f>Z11</f>
        <v>19478824</v>
      </c>
      <c r="C44" s="220">
        <f>A44*B44/100</f>
        <v>17597408679200.539</v>
      </c>
      <c r="D44" s="217">
        <f>AA11</f>
        <v>7796610</v>
      </c>
      <c r="E44" s="220">
        <f>A44*D44/100</f>
        <v>7043553167395.6152</v>
      </c>
      <c r="F44" s="217">
        <f>AB11</f>
        <v>0</v>
      </c>
      <c r="G44" s="220">
        <f>A44*F44/100</f>
        <v>0</v>
      </c>
      <c r="H44" s="264">
        <f>AC11</f>
        <v>0</v>
      </c>
      <c r="I44" s="214"/>
      <c r="J44" s="220">
        <f>A44*H44/100</f>
        <v>0</v>
      </c>
      <c r="K44" s="3"/>
      <c r="Q44" s="3"/>
      <c r="R44" s="3"/>
      <c r="S44" s="7"/>
      <c r="T44" s="7"/>
      <c r="U44" s="7"/>
      <c r="V44" s="7"/>
      <c r="W44" s="7"/>
      <c r="X44" s="7"/>
      <c r="Y44" s="7"/>
      <c r="Z44" s="7"/>
      <c r="AA44" s="7"/>
      <c r="AB44" s="7"/>
      <c r="AC44" s="7"/>
      <c r="AD44" s="7"/>
      <c r="AE44" s="7"/>
      <c r="AF44" s="7"/>
      <c r="AG44" s="7"/>
      <c r="AH44" s="7"/>
      <c r="AI44" s="7"/>
      <c r="AJ44" s="7"/>
      <c r="AK44" s="7"/>
      <c r="AL44" s="7"/>
      <c r="AM44" s="7"/>
      <c r="AN44" s="3"/>
      <c r="AO44" s="3"/>
    </row>
    <row r="45" spans="1:41" s="1" customFormat="1">
      <c r="A45" s="213"/>
      <c r="B45" s="213"/>
      <c r="C45" s="213"/>
      <c r="D45" s="213"/>
      <c r="E45" s="213"/>
      <c r="F45" s="213"/>
      <c r="G45" s="213"/>
      <c r="H45" s="213"/>
      <c r="I45" s="214"/>
      <c r="J45" s="213"/>
      <c r="K45" s="3"/>
      <c r="Q45" s="3"/>
      <c r="R45" s="3"/>
      <c r="S45" s="7"/>
      <c r="T45" s="7"/>
      <c r="U45" s="7"/>
      <c r="V45" s="7"/>
      <c r="W45" s="7"/>
      <c r="X45" s="7"/>
      <c r="Y45" s="7"/>
      <c r="Z45" s="7"/>
      <c r="AA45" s="7"/>
      <c r="AB45" s="7"/>
      <c r="AC45" s="7"/>
      <c r="AD45" s="7"/>
      <c r="AE45" s="7"/>
      <c r="AF45" s="7"/>
      <c r="AG45" s="7"/>
      <c r="AH45" s="7"/>
      <c r="AI45" s="7"/>
      <c r="AJ45" s="7"/>
      <c r="AK45" s="7"/>
      <c r="AL45" s="7"/>
      <c r="AM45" s="7"/>
      <c r="AN45" s="3"/>
      <c r="AO45" s="3"/>
    </row>
    <row r="46" spans="1:41" s="1" customFormat="1">
      <c r="A46" s="3"/>
      <c r="B46" s="3"/>
      <c r="C46" s="3"/>
      <c r="D46" s="3"/>
      <c r="E46" s="3"/>
      <c r="F46" s="3"/>
      <c r="G46" s="3"/>
      <c r="H46" s="3"/>
      <c r="J46" s="3"/>
      <c r="K46" s="3"/>
      <c r="Q46" s="3"/>
      <c r="R46" s="3"/>
      <c r="S46" s="7"/>
      <c r="T46" s="7"/>
      <c r="U46" s="7"/>
      <c r="V46" s="7"/>
      <c r="W46" s="7"/>
      <c r="X46" s="7"/>
      <c r="Y46" s="7"/>
      <c r="Z46" s="7"/>
      <c r="AA46" s="7"/>
      <c r="AB46" s="7"/>
      <c r="AC46" s="7"/>
      <c r="AD46" s="7"/>
      <c r="AE46" s="7"/>
      <c r="AF46" s="7"/>
      <c r="AG46" s="7"/>
      <c r="AH46" s="7"/>
      <c r="AI46" s="7"/>
      <c r="AJ46" s="7"/>
      <c r="AK46" s="7"/>
      <c r="AL46" s="7"/>
      <c r="AM46" s="7"/>
      <c r="AN46" s="3"/>
      <c r="AO46" s="3"/>
    </row>
    <row r="47" spans="1:41" s="1" customFormat="1" ht="15" customHeight="1">
      <c r="A47" s="1167" t="s">
        <v>1008</v>
      </c>
      <c r="B47" s="1168"/>
      <c r="C47" s="1168"/>
      <c r="D47" s="1168"/>
      <c r="E47" s="1168"/>
      <c r="F47" s="1168"/>
      <c r="G47" s="1168"/>
      <c r="H47" s="1168"/>
      <c r="I47" s="1168"/>
      <c r="J47" s="1168"/>
      <c r="K47" s="1169"/>
      <c r="Q47" s="3"/>
      <c r="R47" s="3"/>
      <c r="S47" s="7"/>
      <c r="T47" s="7"/>
      <c r="U47" s="7"/>
      <c r="V47" s="7"/>
      <c r="W47" s="7"/>
      <c r="X47" s="7"/>
      <c r="Y47" s="7"/>
      <c r="Z47" s="7"/>
      <c r="AA47" s="7"/>
      <c r="AB47" s="7"/>
      <c r="AC47" s="7"/>
      <c r="AD47" s="7"/>
      <c r="AE47" s="7"/>
      <c r="AF47" s="7"/>
      <c r="AG47" s="7"/>
      <c r="AH47" s="7"/>
      <c r="AI47" s="7"/>
      <c r="AJ47" s="7"/>
      <c r="AK47" s="7"/>
      <c r="AL47" s="7"/>
      <c r="AM47" s="7"/>
      <c r="AN47" s="3"/>
      <c r="AO47" s="3"/>
    </row>
    <row r="48" spans="1:41" s="1" customFormat="1" ht="60">
      <c r="A48" s="223" t="s">
        <v>996</v>
      </c>
      <c r="B48" s="224" t="s">
        <v>997</v>
      </c>
      <c r="C48" s="224" t="s">
        <v>998</v>
      </c>
      <c r="D48" s="224" t="s">
        <v>660</v>
      </c>
      <c r="E48" s="224" t="s">
        <v>999</v>
      </c>
      <c r="F48" s="224" t="s">
        <v>660</v>
      </c>
      <c r="G48" s="224" t="s">
        <v>1000</v>
      </c>
      <c r="H48" s="224" t="s">
        <v>660</v>
      </c>
      <c r="I48" s="224"/>
      <c r="J48" s="224" t="s">
        <v>1001</v>
      </c>
      <c r="K48" s="224" t="s">
        <v>660</v>
      </c>
      <c r="Q48" s="3"/>
      <c r="R48" s="3"/>
      <c r="S48" s="7"/>
      <c r="T48" s="7"/>
      <c r="U48" s="7"/>
      <c r="V48" s="7"/>
      <c r="W48" s="7"/>
      <c r="X48" s="7"/>
      <c r="Y48" s="7"/>
      <c r="Z48" s="7"/>
      <c r="AA48" s="7"/>
      <c r="AB48" s="7"/>
      <c r="AC48" s="7"/>
      <c r="AD48" s="7"/>
      <c r="AE48" s="7"/>
      <c r="AF48" s="7"/>
      <c r="AG48" s="7"/>
      <c r="AH48" s="7"/>
      <c r="AI48" s="7"/>
      <c r="AJ48" s="7"/>
      <c r="AK48" s="7"/>
      <c r="AL48" s="7"/>
      <c r="AM48" s="7"/>
      <c r="AN48" s="3"/>
      <c r="AO48" s="3"/>
    </row>
    <row r="49" spans="1:41" s="1" customFormat="1">
      <c r="A49" s="213" t="s">
        <v>1002</v>
      </c>
      <c r="B49" s="213">
        <f>K16</f>
        <v>2</v>
      </c>
      <c r="C49" s="213">
        <f>V16</f>
        <v>14165648</v>
      </c>
      <c r="D49" s="220">
        <f>B49*C49/100</f>
        <v>283312.96000000002</v>
      </c>
      <c r="E49" s="213">
        <f>W16</f>
        <v>0</v>
      </c>
      <c r="F49" s="220">
        <f>B49*E49/100</f>
        <v>0</v>
      </c>
      <c r="G49" s="213">
        <f>X16</f>
        <v>0</v>
      </c>
      <c r="H49" s="220">
        <f>B49*G49/100</f>
        <v>0</v>
      </c>
      <c r="I49" s="214"/>
      <c r="J49" s="213">
        <f>Y16</f>
        <v>0</v>
      </c>
      <c r="K49" s="220">
        <f>B49*J49/100</f>
        <v>0</v>
      </c>
      <c r="Q49" s="3"/>
      <c r="R49" s="3"/>
      <c r="S49" s="7"/>
      <c r="T49" s="7"/>
      <c r="U49" s="7"/>
      <c r="V49" s="7"/>
      <c r="W49" s="7"/>
      <c r="X49" s="7"/>
      <c r="Y49" s="7"/>
      <c r="Z49" s="7"/>
      <c r="AA49" s="7"/>
      <c r="AB49" s="7"/>
      <c r="AC49" s="7"/>
      <c r="AD49" s="7"/>
      <c r="AE49" s="7"/>
      <c r="AF49" s="7"/>
      <c r="AG49" s="7"/>
      <c r="AH49" s="7"/>
      <c r="AI49" s="7"/>
      <c r="AJ49" s="7"/>
      <c r="AK49" s="7"/>
      <c r="AL49" s="7"/>
      <c r="AM49" s="7"/>
      <c r="AN49" s="3"/>
      <c r="AO49" s="3"/>
    </row>
    <row r="50" spans="1:41" s="1" customFormat="1">
      <c r="A50" s="213" t="s">
        <v>93</v>
      </c>
      <c r="B50" s="213">
        <f>K17</f>
        <v>100</v>
      </c>
      <c r="C50" s="220">
        <f>V17</f>
        <v>14165649</v>
      </c>
      <c r="D50" s="220">
        <f>B50*C50/100</f>
        <v>14165649</v>
      </c>
      <c r="E50" s="220">
        <f>W17</f>
        <v>0</v>
      </c>
      <c r="F50" s="220">
        <f>B50*E50/100</f>
        <v>0</v>
      </c>
      <c r="G50" s="220">
        <f>X17</f>
        <v>0</v>
      </c>
      <c r="H50" s="220">
        <f>B50*G50/100</f>
        <v>0</v>
      </c>
      <c r="I50" s="214"/>
      <c r="J50" s="220">
        <f>Y17</f>
        <v>0</v>
      </c>
      <c r="K50" s="220">
        <f>B50*J50/100</f>
        <v>0</v>
      </c>
      <c r="Q50" s="3"/>
      <c r="R50" s="3"/>
      <c r="S50" s="7"/>
      <c r="T50" s="7"/>
      <c r="U50" s="7"/>
      <c r="V50" s="7"/>
      <c r="W50" s="7"/>
      <c r="X50" s="7"/>
      <c r="Y50" s="7"/>
      <c r="Z50" s="7"/>
      <c r="AA50" s="7"/>
      <c r="AB50" s="7"/>
      <c r="AC50" s="7"/>
      <c r="AD50" s="7"/>
      <c r="AE50" s="7"/>
      <c r="AF50" s="7"/>
      <c r="AG50" s="7"/>
      <c r="AH50" s="7"/>
      <c r="AI50" s="7"/>
      <c r="AJ50" s="7"/>
      <c r="AK50" s="7"/>
      <c r="AL50" s="7"/>
      <c r="AM50" s="7"/>
      <c r="AN50" s="3"/>
      <c r="AO50" s="3"/>
    </row>
    <row r="51" spans="1:41" s="1" customFormat="1">
      <c r="A51" s="3"/>
      <c r="B51" s="3"/>
      <c r="C51" s="3"/>
      <c r="D51" s="3"/>
      <c r="E51" s="3"/>
      <c r="F51" s="3"/>
      <c r="G51" s="3"/>
      <c r="H51" s="3"/>
      <c r="J51" s="3"/>
      <c r="K51" s="3"/>
      <c r="Q51" s="3"/>
      <c r="R51" s="3"/>
      <c r="S51" s="7"/>
      <c r="T51" s="7"/>
      <c r="U51" s="7"/>
      <c r="V51" s="7"/>
      <c r="W51" s="7"/>
      <c r="X51" s="7"/>
      <c r="Y51" s="7"/>
      <c r="Z51" s="7"/>
      <c r="AA51" s="7"/>
      <c r="AB51" s="7"/>
      <c r="AC51" s="7"/>
      <c r="AD51" s="7"/>
      <c r="AE51" s="7"/>
      <c r="AF51" s="7"/>
      <c r="AG51" s="7"/>
      <c r="AH51" s="7"/>
      <c r="AI51" s="7"/>
      <c r="AJ51" s="7"/>
      <c r="AK51" s="7"/>
      <c r="AL51" s="7"/>
      <c r="AM51" s="7"/>
      <c r="AN51" s="3"/>
      <c r="AO51" s="3"/>
    </row>
    <row r="52" spans="1:41" s="1" customFormat="1" ht="15" customHeight="1">
      <c r="A52" s="1170" t="s">
        <v>1009</v>
      </c>
      <c r="B52" s="1171"/>
      <c r="C52" s="1171"/>
      <c r="D52" s="1171"/>
      <c r="E52" s="1171"/>
      <c r="F52" s="1171"/>
      <c r="G52" s="1171"/>
      <c r="H52" s="1171"/>
      <c r="I52" s="1171"/>
      <c r="J52" s="1172"/>
      <c r="K52" s="3"/>
      <c r="Q52" s="3"/>
      <c r="R52" s="3"/>
      <c r="S52" s="7"/>
      <c r="T52" s="7"/>
      <c r="U52" s="7"/>
      <c r="V52" s="7"/>
      <c r="W52" s="7"/>
      <c r="X52" s="7"/>
      <c r="Y52" s="7"/>
      <c r="Z52" s="7"/>
      <c r="AA52" s="7"/>
      <c r="AB52" s="7"/>
      <c r="AC52" s="7"/>
      <c r="AD52" s="7"/>
      <c r="AE52" s="7"/>
      <c r="AF52" s="7"/>
      <c r="AG52" s="7"/>
      <c r="AH52" s="7"/>
      <c r="AI52" s="7"/>
      <c r="AJ52" s="7"/>
      <c r="AK52" s="7"/>
      <c r="AL52" s="7"/>
      <c r="AM52" s="7"/>
      <c r="AN52" s="3"/>
      <c r="AO52" s="3"/>
    </row>
    <row r="53" spans="1:41" s="1" customFormat="1" ht="45">
      <c r="A53" s="221" t="s">
        <v>674</v>
      </c>
      <c r="B53" s="221" t="s">
        <v>1004</v>
      </c>
      <c r="C53" s="221" t="s">
        <v>660</v>
      </c>
      <c r="D53" s="221" t="s">
        <v>1005</v>
      </c>
      <c r="E53" s="221" t="s">
        <v>660</v>
      </c>
      <c r="F53" s="221" t="s">
        <v>1006</v>
      </c>
      <c r="G53" s="221" t="s">
        <v>660</v>
      </c>
      <c r="H53" s="221" t="s">
        <v>1007</v>
      </c>
      <c r="I53" s="222"/>
      <c r="J53" s="221" t="s">
        <v>660</v>
      </c>
      <c r="K53" s="3"/>
      <c r="Q53" s="3"/>
      <c r="R53" s="3"/>
      <c r="S53" s="7"/>
      <c r="T53" s="7"/>
      <c r="U53" s="7"/>
      <c r="V53" s="7"/>
      <c r="W53" s="7"/>
      <c r="X53" s="7"/>
      <c r="Y53" s="7"/>
      <c r="Z53" s="7"/>
      <c r="AA53" s="7"/>
      <c r="AB53" s="7"/>
      <c r="AC53" s="7"/>
      <c r="AD53" s="7"/>
      <c r="AE53" s="7"/>
      <c r="AF53" s="7"/>
      <c r="AG53" s="7"/>
      <c r="AH53" s="7"/>
      <c r="AI53" s="7"/>
      <c r="AJ53" s="7"/>
      <c r="AK53" s="7"/>
      <c r="AL53" s="7"/>
      <c r="AM53" s="7"/>
      <c r="AN53" s="3"/>
      <c r="AO53" s="3"/>
    </row>
    <row r="54" spans="1:41" s="1" customFormat="1" ht="15">
      <c r="A54" s="226">
        <f>U16</f>
        <v>180682454.74368</v>
      </c>
      <c r="B54" s="226">
        <f>Z16</f>
        <v>19478824</v>
      </c>
      <c r="C54" s="261">
        <f>A54*B54/100</f>
        <v>35194817358401.078</v>
      </c>
      <c r="D54" s="226">
        <f>AA16</f>
        <v>15593223</v>
      </c>
      <c r="E54" s="262">
        <f>A54*D54/100</f>
        <v>28174218090056.102</v>
      </c>
      <c r="F54" s="226">
        <f>AB16</f>
        <v>0</v>
      </c>
      <c r="G54" s="262">
        <f>A54*F54/100</f>
        <v>0</v>
      </c>
      <c r="H54" s="226">
        <f>AC16</f>
        <v>0</v>
      </c>
      <c r="I54" s="227"/>
      <c r="J54" s="262">
        <f>A54*H54/100</f>
        <v>0</v>
      </c>
      <c r="K54" s="3"/>
      <c r="Q54" s="3"/>
      <c r="R54" s="3"/>
      <c r="S54" s="7"/>
      <c r="T54" s="7"/>
      <c r="U54" s="7"/>
      <c r="V54" s="7"/>
      <c r="W54" s="7"/>
      <c r="X54" s="7"/>
      <c r="Y54" s="7"/>
      <c r="Z54" s="7"/>
      <c r="AA54" s="7"/>
      <c r="AB54" s="7"/>
      <c r="AC54" s="7"/>
      <c r="AD54" s="7"/>
      <c r="AE54" s="7"/>
      <c r="AF54" s="7"/>
      <c r="AG54" s="7"/>
      <c r="AH54" s="7"/>
      <c r="AI54" s="7"/>
      <c r="AJ54" s="7"/>
      <c r="AK54" s="7"/>
      <c r="AL54" s="7"/>
      <c r="AM54" s="7"/>
      <c r="AN54" s="3"/>
      <c r="AO54" s="3"/>
    </row>
    <row r="55" spans="1:41" s="1" customFormat="1">
      <c r="A55" s="213"/>
      <c r="B55" s="213"/>
      <c r="C55" s="213"/>
      <c r="D55" s="213"/>
      <c r="E55" s="213"/>
      <c r="F55" s="213"/>
      <c r="G55" s="213"/>
      <c r="H55" s="213"/>
      <c r="I55" s="214"/>
      <c r="J55" s="213"/>
      <c r="K55" s="3"/>
      <c r="Q55" s="3"/>
      <c r="R55" s="3"/>
      <c r="S55" s="7"/>
      <c r="T55" s="7"/>
      <c r="U55" s="7"/>
      <c r="V55" s="7"/>
      <c r="W55" s="7"/>
      <c r="X55" s="7"/>
      <c r="Y55" s="7"/>
      <c r="Z55" s="7"/>
      <c r="AA55" s="7"/>
      <c r="AB55" s="7"/>
      <c r="AC55" s="7"/>
      <c r="AD55" s="7"/>
      <c r="AE55" s="7"/>
      <c r="AF55" s="7"/>
      <c r="AG55" s="7"/>
      <c r="AH55" s="7"/>
      <c r="AI55" s="7"/>
      <c r="AJ55" s="7"/>
      <c r="AK55" s="7"/>
      <c r="AL55" s="7"/>
      <c r="AM55" s="7"/>
      <c r="AN55" s="3"/>
      <c r="AO55" s="3"/>
    </row>
    <row r="56" spans="1:41" s="1" customFormat="1">
      <c r="A56" s="3"/>
      <c r="B56" s="3"/>
      <c r="C56" s="3"/>
      <c r="D56" s="3"/>
      <c r="I56" s="5"/>
      <c r="J56" s="3"/>
      <c r="K56" s="3"/>
      <c r="Q56" s="3"/>
      <c r="R56" s="3"/>
      <c r="S56" s="7"/>
      <c r="T56" s="7"/>
      <c r="U56" s="7"/>
      <c r="V56" s="7"/>
      <c r="W56" s="7"/>
      <c r="X56" s="7"/>
      <c r="Y56" s="7"/>
      <c r="Z56" s="7"/>
      <c r="AA56" s="7"/>
      <c r="AB56" s="7"/>
      <c r="AC56" s="7"/>
      <c r="AD56" s="7"/>
      <c r="AE56" s="7"/>
      <c r="AF56" s="7"/>
      <c r="AG56" s="7"/>
      <c r="AH56" s="7"/>
      <c r="AI56" s="7"/>
      <c r="AJ56" s="7"/>
      <c r="AK56" s="7"/>
      <c r="AL56" s="7"/>
      <c r="AM56" s="7"/>
      <c r="AN56" s="3"/>
      <c r="AO56" s="3"/>
    </row>
    <row r="57" spans="1:41" s="1" customFormat="1">
      <c r="A57" s="3"/>
      <c r="B57" s="3"/>
      <c r="C57" s="3"/>
      <c r="D57" s="3"/>
      <c r="I57" s="5"/>
      <c r="J57" s="3"/>
      <c r="K57" s="3"/>
      <c r="Q57" s="3"/>
      <c r="R57" s="3"/>
      <c r="S57" s="7"/>
      <c r="T57" s="7"/>
      <c r="U57" s="7"/>
      <c r="V57" s="7"/>
      <c r="W57" s="7"/>
      <c r="X57" s="7"/>
      <c r="Y57" s="7"/>
      <c r="Z57" s="7"/>
      <c r="AA57" s="7"/>
      <c r="AB57" s="7"/>
      <c r="AC57" s="7"/>
      <c r="AD57" s="7"/>
      <c r="AE57" s="7"/>
      <c r="AF57" s="7"/>
      <c r="AG57" s="7"/>
      <c r="AH57" s="7"/>
      <c r="AI57" s="7"/>
      <c r="AJ57" s="7"/>
      <c r="AK57" s="7"/>
      <c r="AL57" s="7"/>
      <c r="AM57" s="7"/>
      <c r="AN57" s="3"/>
      <c r="AO57" s="3"/>
    </row>
    <row r="58" spans="1:41">
      <c r="I58" s="1"/>
      <c r="J58" s="3"/>
    </row>
    <row r="59" spans="1:41" ht="15" customHeight="1">
      <c r="A59" s="1167" t="s">
        <v>1010</v>
      </c>
      <c r="B59" s="1168"/>
      <c r="C59" s="1168"/>
      <c r="D59" s="1168"/>
      <c r="E59" s="1168"/>
      <c r="F59" s="1168"/>
      <c r="G59" s="1168"/>
      <c r="H59" s="1168"/>
      <c r="I59" s="1168"/>
      <c r="J59" s="1168"/>
      <c r="K59" s="1169"/>
    </row>
    <row r="60" spans="1:41" ht="60">
      <c r="A60" s="223" t="s">
        <v>996</v>
      </c>
      <c r="B60" s="224" t="s">
        <v>997</v>
      </c>
      <c r="C60" s="224" t="s">
        <v>998</v>
      </c>
      <c r="D60" s="224" t="s">
        <v>660</v>
      </c>
      <c r="E60" s="224" t="s">
        <v>999</v>
      </c>
      <c r="F60" s="224" t="s">
        <v>660</v>
      </c>
      <c r="G60" s="224" t="s">
        <v>1000</v>
      </c>
      <c r="H60" s="224" t="s">
        <v>660</v>
      </c>
      <c r="I60" s="224"/>
      <c r="J60" s="224" t="s">
        <v>1001</v>
      </c>
      <c r="K60" s="224" t="s">
        <v>660</v>
      </c>
    </row>
    <row r="61" spans="1:41">
      <c r="A61" s="213" t="s">
        <v>1002</v>
      </c>
      <c r="B61" s="213">
        <f>K23</f>
        <v>1</v>
      </c>
      <c r="C61" s="213">
        <f>V23</f>
        <v>14400000</v>
      </c>
      <c r="D61" s="220">
        <f>B61*C61/100</f>
        <v>144000</v>
      </c>
      <c r="E61" s="213">
        <f>W23</f>
        <v>17500000</v>
      </c>
      <c r="F61" s="220">
        <f>B61*E61/100</f>
        <v>175000</v>
      </c>
      <c r="G61" s="213">
        <f>X23</f>
        <v>0</v>
      </c>
      <c r="H61" s="220">
        <f>B61*G61/100</f>
        <v>0</v>
      </c>
      <c r="I61" s="214"/>
      <c r="J61" s="213">
        <f>Y23</f>
        <v>0</v>
      </c>
      <c r="K61" s="220">
        <f>B61*J61/100</f>
        <v>0</v>
      </c>
    </row>
    <row r="62" spans="1:41">
      <c r="A62" s="213" t="s">
        <v>93</v>
      </c>
      <c r="B62" s="213">
        <f>K24</f>
        <v>100</v>
      </c>
      <c r="C62" s="220">
        <f t="shared" ref="C62:C63" si="18">V24</f>
        <v>203587445</v>
      </c>
      <c r="D62" s="220">
        <f t="shared" ref="D62:D63" si="19">B62*C62/100</f>
        <v>203587445</v>
      </c>
      <c r="E62" s="220">
        <f t="shared" ref="E62:E63" si="20">W24</f>
        <v>813163649</v>
      </c>
      <c r="F62" s="220">
        <f t="shared" ref="F62:F63" si="21">B62*E62/100</f>
        <v>813163649</v>
      </c>
      <c r="G62" s="220">
        <f t="shared" ref="G62:G63" si="22">X24</f>
        <v>0</v>
      </c>
      <c r="H62" s="220">
        <f t="shared" ref="H62:H63" si="23">B62*G62/100</f>
        <v>0</v>
      </c>
      <c r="I62" s="214"/>
      <c r="J62" s="220">
        <f t="shared" ref="J62:J63" si="24">Y24</f>
        <v>0</v>
      </c>
      <c r="K62" s="220">
        <f>B62*J62/100</f>
        <v>0</v>
      </c>
    </row>
    <row r="63" spans="1:41">
      <c r="A63" s="213" t="s">
        <v>135</v>
      </c>
      <c r="B63" s="213">
        <f>K25</f>
        <v>32</v>
      </c>
      <c r="C63" s="213">
        <f t="shared" si="18"/>
        <v>0</v>
      </c>
      <c r="D63" s="220">
        <f t="shared" si="19"/>
        <v>0</v>
      </c>
      <c r="E63" s="213">
        <f t="shared" si="20"/>
        <v>9639442</v>
      </c>
      <c r="F63" s="220">
        <f t="shared" si="21"/>
        <v>3084621.44</v>
      </c>
      <c r="G63" s="213">
        <f t="shared" si="22"/>
        <v>0</v>
      </c>
      <c r="H63" s="220">
        <f t="shared" si="23"/>
        <v>0</v>
      </c>
      <c r="I63" s="214"/>
      <c r="J63" s="213">
        <f t="shared" si="24"/>
        <v>0</v>
      </c>
      <c r="K63" s="220">
        <f>B63*J63/100</f>
        <v>0</v>
      </c>
    </row>
    <row r="64" spans="1:41">
      <c r="I64" s="1"/>
      <c r="J64" s="3"/>
    </row>
    <row r="65" spans="1:11" ht="15" customHeight="1">
      <c r="A65" s="1170" t="s">
        <v>1011</v>
      </c>
      <c r="B65" s="1171"/>
      <c r="C65" s="1171"/>
      <c r="D65" s="1171"/>
      <c r="E65" s="1171"/>
      <c r="F65" s="1171"/>
      <c r="G65" s="1171"/>
      <c r="H65" s="1171"/>
      <c r="I65" s="1171"/>
      <c r="J65" s="1172"/>
    </row>
    <row r="66" spans="1:11" ht="45">
      <c r="A66" s="221" t="s">
        <v>674</v>
      </c>
      <c r="B66" s="221" t="s">
        <v>1004</v>
      </c>
      <c r="C66" s="221" t="s">
        <v>660</v>
      </c>
      <c r="D66" s="221" t="s">
        <v>1005</v>
      </c>
      <c r="E66" s="221" t="s">
        <v>660</v>
      </c>
      <c r="F66" s="221" t="s">
        <v>1006</v>
      </c>
      <c r="G66" s="221" t="s">
        <v>660</v>
      </c>
      <c r="H66" s="221" t="s">
        <v>1007</v>
      </c>
      <c r="I66" s="222"/>
      <c r="J66" s="221" t="s">
        <v>660</v>
      </c>
    </row>
    <row r="67" spans="1:11">
      <c r="A67" s="217">
        <f>U23</f>
        <v>1762218738.5</v>
      </c>
      <c r="B67" s="217">
        <f>Z23</f>
        <v>886457194</v>
      </c>
      <c r="C67" s="220">
        <f>A67*B67/100</f>
        <v>1.5621314781449298E+16</v>
      </c>
      <c r="D67" s="217">
        <f>AA23</f>
        <v>840303091</v>
      </c>
      <c r="E67" s="220">
        <f>A67*D67/100</f>
        <v>1.4807978529796708E+16</v>
      </c>
      <c r="F67" s="217">
        <f>AB23</f>
        <v>0</v>
      </c>
      <c r="G67" s="220">
        <f>A67*F67/100</f>
        <v>0</v>
      </c>
      <c r="H67" s="217">
        <f>AC23</f>
        <v>0</v>
      </c>
      <c r="I67" s="214"/>
      <c r="J67" s="220">
        <f>A67*H67/100</f>
        <v>0</v>
      </c>
    </row>
    <row r="68" spans="1:11">
      <c r="A68" s="213"/>
      <c r="B68" s="213"/>
      <c r="C68" s="213"/>
      <c r="D68" s="213"/>
      <c r="E68" s="213"/>
      <c r="F68" s="213"/>
      <c r="G68" s="213"/>
      <c r="H68" s="213"/>
      <c r="I68" s="214"/>
      <c r="J68" s="213"/>
    </row>
    <row r="69" spans="1:11">
      <c r="E69" s="2"/>
      <c r="F69" s="2"/>
      <c r="G69" s="2"/>
      <c r="H69" s="2"/>
      <c r="I69" s="5"/>
      <c r="J69" s="3"/>
    </row>
    <row r="70" spans="1:11">
      <c r="E70" s="2"/>
      <c r="F70" s="2"/>
      <c r="G70" s="2"/>
      <c r="H70" s="2"/>
      <c r="I70" s="5"/>
      <c r="J70" s="3"/>
    </row>
    <row r="71" spans="1:11">
      <c r="I71" s="1"/>
      <c r="J71" s="3"/>
    </row>
    <row r="72" spans="1:11" ht="15" customHeight="1">
      <c r="A72" s="1167" t="s">
        <v>1155</v>
      </c>
      <c r="B72" s="1168"/>
      <c r="C72" s="1168"/>
      <c r="D72" s="1168"/>
      <c r="E72" s="1168"/>
      <c r="F72" s="1168"/>
      <c r="G72" s="1168"/>
      <c r="H72" s="1168"/>
      <c r="I72" s="1168"/>
      <c r="J72" s="1168"/>
      <c r="K72" s="1169"/>
    </row>
    <row r="73" spans="1:11" ht="60">
      <c r="A73" s="223" t="s">
        <v>996</v>
      </c>
      <c r="B73" s="224" t="s">
        <v>997</v>
      </c>
      <c r="C73" s="224" t="s">
        <v>998</v>
      </c>
      <c r="D73" s="224" t="s">
        <v>660</v>
      </c>
      <c r="E73" s="224" t="s">
        <v>999</v>
      </c>
      <c r="F73" s="224" t="s">
        <v>660</v>
      </c>
      <c r="G73" s="224" t="s">
        <v>1000</v>
      </c>
      <c r="H73" s="224" t="s">
        <v>660</v>
      </c>
      <c r="I73" s="224"/>
      <c r="J73" s="224" t="s">
        <v>1001</v>
      </c>
      <c r="K73" s="224" t="s">
        <v>660</v>
      </c>
    </row>
    <row r="74" spans="1:11" ht="14.25" customHeight="1">
      <c r="A74" s="213" t="s">
        <v>1002</v>
      </c>
      <c r="B74" s="213">
        <f>K32</f>
        <v>2</v>
      </c>
      <c r="C74" s="213">
        <f>V32</f>
        <v>0</v>
      </c>
      <c r="D74" s="220">
        <f>B74*C74/100</f>
        <v>0</v>
      </c>
      <c r="E74" s="213">
        <f>W32</f>
        <v>147148509</v>
      </c>
      <c r="F74" s="220">
        <f>B74*E74/100</f>
        <v>2942970.18</v>
      </c>
      <c r="G74" s="213">
        <f>X32</f>
        <v>0</v>
      </c>
      <c r="H74" s="220">
        <f>B74*G74/100</f>
        <v>0</v>
      </c>
      <c r="I74" s="214"/>
      <c r="J74" s="213">
        <f>Y32</f>
        <v>0</v>
      </c>
      <c r="K74" s="220">
        <f>B74*J74/100</f>
        <v>0</v>
      </c>
    </row>
    <row r="75" spans="1:11">
      <c r="A75" s="213" t="s">
        <v>93</v>
      </c>
      <c r="B75" s="213">
        <f>K33</f>
        <v>100</v>
      </c>
      <c r="C75" s="220">
        <f>V33</f>
        <v>219856003</v>
      </c>
      <c r="D75" s="220">
        <f>B75*C75/100</f>
        <v>219856003</v>
      </c>
      <c r="E75" s="220">
        <f>W33</f>
        <v>676266801</v>
      </c>
      <c r="F75" s="220">
        <f>B75*E75/100</f>
        <v>676266801</v>
      </c>
      <c r="G75" s="220">
        <f>X33</f>
        <v>0</v>
      </c>
      <c r="H75" s="220">
        <f>B75*G75/100</f>
        <v>0</v>
      </c>
      <c r="I75" s="214"/>
      <c r="J75" s="220">
        <f>Y33</f>
        <v>0</v>
      </c>
      <c r="K75" s="220">
        <f>B75*J75/100</f>
        <v>0</v>
      </c>
    </row>
    <row r="76" spans="1:11">
      <c r="I76" s="1"/>
      <c r="J76" s="3"/>
    </row>
    <row r="77" spans="1:11" ht="15" customHeight="1">
      <c r="A77" s="1170" t="s">
        <v>1156</v>
      </c>
      <c r="B77" s="1171"/>
      <c r="C77" s="1171"/>
      <c r="D77" s="1171"/>
      <c r="E77" s="1171"/>
      <c r="F77" s="1171"/>
      <c r="G77" s="1171"/>
      <c r="H77" s="1171"/>
      <c r="I77" s="1171"/>
      <c r="J77" s="1172"/>
    </row>
    <row r="78" spans="1:11" ht="45">
      <c r="A78" s="221" t="s">
        <v>674</v>
      </c>
      <c r="B78" s="221" t="s">
        <v>1004</v>
      </c>
      <c r="C78" s="221" t="s">
        <v>660</v>
      </c>
      <c r="D78" s="221" t="s">
        <v>1005</v>
      </c>
      <c r="E78" s="221" t="s">
        <v>660</v>
      </c>
      <c r="F78" s="221" t="s">
        <v>1006</v>
      </c>
      <c r="G78" s="221" t="s">
        <v>660</v>
      </c>
      <c r="H78" s="221" t="s">
        <v>1007</v>
      </c>
      <c r="I78" s="222"/>
      <c r="J78" s="221" t="s">
        <v>660</v>
      </c>
    </row>
    <row r="79" spans="1:11">
      <c r="A79" s="217">
        <f>U32</f>
        <v>3599115337</v>
      </c>
      <c r="B79" s="217">
        <f>Z32</f>
        <v>273845134</v>
      </c>
      <c r="C79" s="220">
        <f>A79*B79/100</f>
        <v>9856002217422202</v>
      </c>
      <c r="D79" s="217">
        <f>AA32</f>
        <v>823415310</v>
      </c>
      <c r="E79" s="220">
        <f>A79*D79/100</f>
        <v>2.9635666709416096E+16</v>
      </c>
      <c r="F79" s="217">
        <f>AB32</f>
        <v>0</v>
      </c>
      <c r="G79" s="220">
        <f>A79*F79/100</f>
        <v>0</v>
      </c>
      <c r="H79" s="217">
        <f>AC32</f>
        <v>0</v>
      </c>
      <c r="I79" s="214"/>
      <c r="J79" s="220">
        <f>A79*H79/100</f>
        <v>0</v>
      </c>
    </row>
    <row r="80" spans="1:11">
      <c r="A80" s="213"/>
      <c r="B80" s="213"/>
      <c r="C80" s="213"/>
      <c r="D80" s="213"/>
      <c r="E80" s="213"/>
      <c r="F80" s="213"/>
      <c r="G80" s="213"/>
      <c r="H80" s="213"/>
      <c r="I80" s="214"/>
      <c r="J80" s="213"/>
    </row>
    <row r="81" spans="1:14">
      <c r="E81" s="2"/>
      <c r="F81" s="2"/>
      <c r="G81" s="2"/>
      <c r="H81" s="2"/>
      <c r="I81" s="5"/>
      <c r="J81" s="3"/>
    </row>
    <row r="82" spans="1:14">
      <c r="E82" s="2"/>
      <c r="F82" s="2"/>
      <c r="G82" s="2"/>
      <c r="H82" s="2"/>
      <c r="I82" s="5"/>
      <c r="J82" s="3"/>
    </row>
    <row r="83" spans="1:14" ht="15" customHeight="1">
      <c r="A83" s="1167" t="s">
        <v>1157</v>
      </c>
      <c r="B83" s="1168"/>
      <c r="C83" s="1168"/>
      <c r="D83" s="1168"/>
      <c r="E83" s="1168"/>
      <c r="F83" s="1168"/>
      <c r="G83" s="1168"/>
      <c r="H83" s="1168"/>
      <c r="I83" s="1168"/>
      <c r="J83" s="1168"/>
      <c r="K83" s="1169"/>
    </row>
    <row r="84" spans="1:14" ht="60">
      <c r="A84" s="223" t="s">
        <v>996</v>
      </c>
      <c r="B84" s="224" t="s">
        <v>997</v>
      </c>
      <c r="C84" s="224" t="s">
        <v>998</v>
      </c>
      <c r="D84" s="224" t="s">
        <v>660</v>
      </c>
      <c r="E84" s="224" t="s">
        <v>999</v>
      </c>
      <c r="F84" s="224" t="s">
        <v>660</v>
      </c>
      <c r="G84" s="224" t="s">
        <v>1000</v>
      </c>
      <c r="H84" s="224" t="s">
        <v>660</v>
      </c>
      <c r="I84" s="224"/>
      <c r="J84" s="224" t="s">
        <v>1001</v>
      </c>
      <c r="K84" s="224" t="s">
        <v>660</v>
      </c>
    </row>
    <row r="85" spans="1:14">
      <c r="A85" s="213" t="s">
        <v>1002</v>
      </c>
      <c r="B85" s="213">
        <f>B74+B61+B49+B39</f>
        <v>6</v>
      </c>
      <c r="C85" s="213">
        <f>C74+C61+C49+C39</f>
        <v>28565648</v>
      </c>
      <c r="D85" s="220">
        <f>B85*C85/100</f>
        <v>1713938.88</v>
      </c>
      <c r="E85" s="213">
        <f>E74+E61+E49+E39</f>
        <v>164648509</v>
      </c>
      <c r="F85" s="220">
        <f>B85*E85/100</f>
        <v>9878910.5399999991</v>
      </c>
      <c r="G85" s="213">
        <f>G74+G61+G49+G39</f>
        <v>0</v>
      </c>
      <c r="H85" s="220">
        <f>B85*G85/100</f>
        <v>0</v>
      </c>
      <c r="I85" s="214"/>
      <c r="J85" s="213">
        <f>J74+J61+J49+J39</f>
        <v>0</v>
      </c>
      <c r="K85" s="220">
        <f>B85*J85/100</f>
        <v>0</v>
      </c>
    </row>
    <row r="86" spans="1:14" ht="14.25" customHeight="1">
      <c r="A86" s="213" t="s">
        <v>93</v>
      </c>
      <c r="B86" s="220">
        <v>1</v>
      </c>
      <c r="C86" s="218">
        <f>C75+C62+C50+C40</f>
        <v>451765745</v>
      </c>
      <c r="D86" s="220">
        <f t="shared" ref="D86:D87" si="25">B86*C86/100</f>
        <v>4517657.45</v>
      </c>
      <c r="E86" s="218">
        <f>E75+E62+E50+E40</f>
        <v>1489430450</v>
      </c>
      <c r="F86" s="220">
        <f t="shared" ref="F86:F87" si="26">B86*E86/100</f>
        <v>14894304.5</v>
      </c>
      <c r="G86" s="220">
        <f t="shared" ref="G86:G87" si="27">G75+G62+G50+G40</f>
        <v>0</v>
      </c>
      <c r="H86" s="220">
        <f t="shared" ref="H86:H87" si="28">B86*G86/100</f>
        <v>0</v>
      </c>
      <c r="I86" s="214"/>
      <c r="J86" s="220">
        <f t="shared" ref="J86:J87" si="29">J75+J62+J50+J40</f>
        <v>0</v>
      </c>
      <c r="K86" s="220">
        <f>B86*J86/100</f>
        <v>0</v>
      </c>
    </row>
    <row r="87" spans="1:14" ht="14.25" customHeight="1">
      <c r="A87" s="213" t="s">
        <v>1158</v>
      </c>
      <c r="B87" s="213">
        <f>B63</f>
        <v>32</v>
      </c>
      <c r="C87" s="213">
        <f>C63</f>
        <v>0</v>
      </c>
      <c r="D87" s="220">
        <f t="shared" si="25"/>
        <v>0</v>
      </c>
      <c r="E87" s="213">
        <f>E76+E63+E51+E41</f>
        <v>9639442</v>
      </c>
      <c r="F87" s="220">
        <f t="shared" si="26"/>
        <v>3084621.44</v>
      </c>
      <c r="G87" s="213">
        <f t="shared" si="27"/>
        <v>0</v>
      </c>
      <c r="H87" s="220">
        <f t="shared" si="28"/>
        <v>0</v>
      </c>
      <c r="I87" s="214"/>
      <c r="J87" s="213">
        <f t="shared" si="29"/>
        <v>0</v>
      </c>
      <c r="K87" s="220">
        <f>B87*J87/100</f>
        <v>0</v>
      </c>
    </row>
    <row r="88" spans="1:14">
      <c r="I88" s="1"/>
      <c r="J88" s="3"/>
    </row>
    <row r="89" spans="1:14" ht="15" customHeight="1">
      <c r="A89" s="1170" t="s">
        <v>1159</v>
      </c>
      <c r="B89" s="1171"/>
      <c r="C89" s="1171"/>
      <c r="D89" s="1171"/>
      <c r="E89" s="1171"/>
      <c r="F89" s="1171"/>
      <c r="G89" s="1171"/>
      <c r="H89" s="1171"/>
      <c r="I89" s="1171"/>
      <c r="J89" s="1172"/>
    </row>
    <row r="90" spans="1:14" ht="45">
      <c r="A90" s="221" t="s">
        <v>674</v>
      </c>
      <c r="B90" s="221" t="s">
        <v>1004</v>
      </c>
      <c r="C90" s="221" t="s">
        <v>660</v>
      </c>
      <c r="D90" s="221" t="s">
        <v>1005</v>
      </c>
      <c r="E90" s="221" t="s">
        <v>660</v>
      </c>
      <c r="F90" s="221" t="s">
        <v>1006</v>
      </c>
      <c r="G90" s="221" t="s">
        <v>660</v>
      </c>
      <c r="H90" s="221" t="s">
        <v>1007</v>
      </c>
      <c r="I90" s="222"/>
      <c r="J90" s="221" t="s">
        <v>660</v>
      </c>
    </row>
    <row r="91" spans="1:14">
      <c r="A91" s="217">
        <f>A79+A67+A54+A44</f>
        <v>5632357757.6155205</v>
      </c>
      <c r="B91" s="217">
        <f>B79+B67+B54+B44</f>
        <v>1199259976</v>
      </c>
      <c r="C91" s="220">
        <f>A91*B91/100</f>
        <v>6.7546612292214024E+16</v>
      </c>
      <c r="D91" s="217">
        <f>D79+D67+D54+D44</f>
        <v>1687108234</v>
      </c>
      <c r="E91" s="220">
        <f>A91*D91/100</f>
        <v>9.50239714970692E+16</v>
      </c>
      <c r="F91" s="217">
        <f>F79+F67+F54+F44</f>
        <v>0</v>
      </c>
      <c r="G91" s="220">
        <f>A91*F91/100</f>
        <v>0</v>
      </c>
      <c r="H91" s="217">
        <f>H79+H67+H54+H44</f>
        <v>0</v>
      </c>
      <c r="I91" s="214"/>
      <c r="J91" s="220">
        <f>A91*H91/100</f>
        <v>0</v>
      </c>
    </row>
    <row r="92" spans="1:14">
      <c r="A92" s="213"/>
      <c r="B92" s="213"/>
      <c r="C92" s="213"/>
      <c r="D92" s="213"/>
      <c r="E92" s="213"/>
      <c r="F92" s="213"/>
      <c r="G92" s="213"/>
      <c r="H92" s="213"/>
      <c r="I92" s="214"/>
      <c r="J92" s="213"/>
    </row>
    <row r="93" spans="1:14">
      <c r="J93" s="2"/>
      <c r="K93" s="2"/>
      <c r="L93" s="2"/>
      <c r="M93" s="2"/>
      <c r="N93" s="5"/>
    </row>
  </sheetData>
  <mergeCells count="107">
    <mergeCell ref="A32:J33"/>
    <mergeCell ref="E8:E10"/>
    <mergeCell ref="F8:F10"/>
    <mergeCell ref="G8:G10"/>
    <mergeCell ref="H8:H10"/>
    <mergeCell ref="A11:H12"/>
    <mergeCell ref="A16:J17"/>
    <mergeCell ref="G26:G31"/>
    <mergeCell ref="A23:J25"/>
    <mergeCell ref="A13:A15"/>
    <mergeCell ref="B13:B15"/>
    <mergeCell ref="C13:C15"/>
    <mergeCell ref="D13:D15"/>
    <mergeCell ref="E13:E15"/>
    <mergeCell ref="F13:F15"/>
    <mergeCell ref="G13:G15"/>
    <mergeCell ref="Z11:Z12"/>
    <mergeCell ref="AA11:AA12"/>
    <mergeCell ref="AE23:AE25"/>
    <mergeCell ref="AD11:AD12"/>
    <mergeCell ref="AE11:AE12"/>
    <mergeCell ref="S16:S17"/>
    <mergeCell ref="U16:U17"/>
    <mergeCell ref="Z16:Z17"/>
    <mergeCell ref="AA16:AA17"/>
    <mergeCell ref="AB16:AB17"/>
    <mergeCell ref="AC16:AC17"/>
    <mergeCell ref="AD16:AD17"/>
    <mergeCell ref="AE16:AE17"/>
    <mergeCell ref="S11:S12"/>
    <mergeCell ref="U11:U12"/>
    <mergeCell ref="S23:S25"/>
    <mergeCell ref="U23:U25"/>
    <mergeCell ref="Z23:Z25"/>
    <mergeCell ref="AB23:AB25"/>
    <mergeCell ref="AC23:AC25"/>
    <mergeCell ref="AD23:AD25"/>
    <mergeCell ref="AB11:AB12"/>
    <mergeCell ref="AC11:AC12"/>
    <mergeCell ref="A4:AO4"/>
    <mergeCell ref="B3:AO3"/>
    <mergeCell ref="A8:A10"/>
    <mergeCell ref="B8:B10"/>
    <mergeCell ref="C8:C10"/>
    <mergeCell ref="D8:D10"/>
    <mergeCell ref="Q9:Q10"/>
    <mergeCell ref="R9:R10"/>
    <mergeCell ref="S9:S10"/>
    <mergeCell ref="U9:U10"/>
    <mergeCell ref="P6:P7"/>
    <mergeCell ref="Q6:U6"/>
    <mergeCell ref="V6:AB6"/>
    <mergeCell ref="V9:V10"/>
    <mergeCell ref="W9:W10"/>
    <mergeCell ref="AA9:AA10"/>
    <mergeCell ref="AP18:AP22"/>
    <mergeCell ref="C20:C22"/>
    <mergeCell ref="D20:D22"/>
    <mergeCell ref="E20:E22"/>
    <mergeCell ref="F20:F22"/>
    <mergeCell ref="AP26:AP31"/>
    <mergeCell ref="A26:A31"/>
    <mergeCell ref="B26:B31"/>
    <mergeCell ref="C26:C30"/>
    <mergeCell ref="D26:D30"/>
    <mergeCell ref="E26:E30"/>
    <mergeCell ref="F26:F30"/>
    <mergeCell ref="AA23:AA25"/>
    <mergeCell ref="B18:B22"/>
    <mergeCell ref="C18:C19"/>
    <mergeCell ref="D18:D19"/>
    <mergeCell ref="E18:E19"/>
    <mergeCell ref="F18:F19"/>
    <mergeCell ref="G18:G22"/>
    <mergeCell ref="A37:K37"/>
    <mergeCell ref="A1:AO1"/>
    <mergeCell ref="AQ1:AU1"/>
    <mergeCell ref="A2:AO2"/>
    <mergeCell ref="S32:S33"/>
    <mergeCell ref="U32:U33"/>
    <mergeCell ref="Z32:Z33"/>
    <mergeCell ref="AA32:AA33"/>
    <mergeCell ref="AB32:AB33"/>
    <mergeCell ref="AC32:AC33"/>
    <mergeCell ref="A5:AO5"/>
    <mergeCell ref="A6:B6"/>
    <mergeCell ref="C6:F6"/>
    <mergeCell ref="H6:I6"/>
    <mergeCell ref="J6:J7"/>
    <mergeCell ref="K6:K7"/>
    <mergeCell ref="L6:L7"/>
    <mergeCell ref="M6:M7"/>
    <mergeCell ref="AO6:AO7"/>
    <mergeCell ref="N6:N7"/>
    <mergeCell ref="O6:O7"/>
    <mergeCell ref="AN6:AN7"/>
    <mergeCell ref="AP13:AP15"/>
    <mergeCell ref="A18:A22"/>
    <mergeCell ref="A59:K59"/>
    <mergeCell ref="A52:J52"/>
    <mergeCell ref="A47:K47"/>
    <mergeCell ref="A42:J42"/>
    <mergeCell ref="A65:J65"/>
    <mergeCell ref="A72:K72"/>
    <mergeCell ref="A77:J77"/>
    <mergeCell ref="A83:K83"/>
    <mergeCell ref="A89:J89"/>
  </mergeCell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0499-2843-4638-AF75-2F97BD1F9424}">
  <dimension ref="A1:BI64"/>
  <sheetViews>
    <sheetView topLeftCell="A34" zoomScale="60" zoomScaleNormal="60" workbookViewId="0">
      <selection activeCell="A59" sqref="A59"/>
    </sheetView>
  </sheetViews>
  <sheetFormatPr defaultColWidth="11.375" defaultRowHeight="14.25"/>
  <cols>
    <col min="1" max="1" width="31.875" style="3" customWidth="1"/>
    <col min="2" max="2" width="28.375" style="3" customWidth="1"/>
    <col min="3" max="3" width="24" style="3" customWidth="1"/>
    <col min="4" max="4" width="30.375" style="3" customWidth="1"/>
    <col min="5" max="5" width="24.375" style="3" customWidth="1"/>
    <col min="6" max="6" width="18.375" style="3" customWidth="1"/>
    <col min="7" max="7" width="20.25" style="3" customWidth="1"/>
    <col min="8" max="8" width="37.375" style="3" customWidth="1"/>
    <col min="9" max="9" width="15" style="3" hidden="1" customWidth="1"/>
    <col min="10" max="11" width="12.75" style="2" hidden="1" customWidth="1"/>
    <col min="12" max="12" width="38.375" style="2" hidden="1" customWidth="1"/>
    <col min="13" max="13" width="57.375" style="2" hidden="1" customWidth="1"/>
    <col min="14" max="14" width="38.125" style="5" customWidth="1"/>
    <col min="15" max="16" width="15" style="3" customWidth="1"/>
    <col min="17" max="17" width="16.25" style="3" customWidth="1"/>
    <col min="18" max="18" width="16.75" style="3" customWidth="1"/>
    <col min="19" max="19" width="16.875" style="3" customWidth="1"/>
    <col min="20" max="20" width="18" style="3" customWidth="1"/>
    <col min="21" max="21" width="20.125" style="3" customWidth="1"/>
    <col min="22" max="22" width="21.375" style="3" customWidth="1"/>
    <col min="23" max="23" width="27.75" style="7" customWidth="1"/>
    <col min="24" max="24" width="25.375" style="7" bestFit="1" customWidth="1"/>
    <col min="25" max="34" width="25.375" style="7" customWidth="1"/>
    <col min="35" max="37" width="34.25" style="7" customWidth="1"/>
    <col min="38"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0" s="1" customFormat="1" ht="30.75" customHeight="1" thickTop="1" thickBot="1">
      <c r="A1" s="1094" t="s">
        <v>969</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9"/>
      <c r="AT1" s="1095" t="s">
        <v>1</v>
      </c>
      <c r="AU1" s="1095"/>
      <c r="AV1" s="1095"/>
      <c r="AW1" s="1095"/>
      <c r="AX1" s="1096"/>
    </row>
    <row r="2" spans="1:50" s="1" customFormat="1" ht="27.95" customHeight="1" thickTop="1" thickBot="1">
      <c r="A2" s="836" t="s">
        <v>2</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19"/>
      <c r="AT2" s="206" t="s">
        <v>3</v>
      </c>
      <c r="AU2" s="18" t="s">
        <v>4</v>
      </c>
      <c r="AV2" s="16" t="s">
        <v>5</v>
      </c>
      <c r="AW2" s="16" t="s">
        <v>6</v>
      </c>
      <c r="AX2" s="16" t="s">
        <v>7</v>
      </c>
    </row>
    <row r="3" spans="1:50" s="1" customFormat="1" ht="25.5" customHeight="1" thickTop="1" thickBot="1">
      <c r="B3" s="1147" t="s">
        <v>738</v>
      </c>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c r="AI3" s="1148"/>
      <c r="AJ3" s="1148"/>
      <c r="AK3" s="1148"/>
      <c r="AL3" s="1148"/>
      <c r="AM3" s="1148"/>
      <c r="AN3" s="1148"/>
      <c r="AO3" s="1148"/>
      <c r="AP3" s="1148"/>
      <c r="AQ3" s="1148"/>
      <c r="AR3" s="1149"/>
      <c r="AS3" s="19"/>
      <c r="AT3" s="1280"/>
      <c r="AU3" s="1258"/>
      <c r="AV3" s="1259"/>
      <c r="AW3" s="1260"/>
      <c r="AX3" s="17"/>
    </row>
    <row r="4" spans="1:50" s="1" customFormat="1" ht="27.95" customHeight="1" thickTop="1" thickBot="1">
      <c r="A4" s="1150" t="s">
        <v>1160</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2"/>
      <c r="AS4" s="19"/>
      <c r="AT4" s="1280"/>
      <c r="AU4" s="1258"/>
      <c r="AV4" s="1259"/>
      <c r="AW4" s="1260"/>
      <c r="AX4" s="17"/>
    </row>
    <row r="5" spans="1:50" s="1" customFormat="1" ht="27.95" customHeight="1" thickTop="1" thickBot="1">
      <c r="A5" s="853"/>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132"/>
      <c r="AT5" s="1280"/>
      <c r="AU5" s="1258"/>
      <c r="AV5" s="1259"/>
      <c r="AW5" s="1260"/>
      <c r="AX5" s="17"/>
    </row>
    <row r="6" spans="1:50" ht="27.95" customHeight="1" thickBot="1">
      <c r="A6" s="856"/>
      <c r="B6" s="857"/>
      <c r="C6" s="858" t="s">
        <v>10</v>
      </c>
      <c r="D6" s="856"/>
      <c r="E6" s="856"/>
      <c r="F6" s="857"/>
      <c r="G6" s="21"/>
      <c r="H6" s="823" t="s">
        <v>11</v>
      </c>
      <c r="I6" s="823"/>
      <c r="J6" s="823"/>
      <c r="K6" s="823"/>
      <c r="L6" s="855" t="s">
        <v>12</v>
      </c>
      <c r="M6" s="855" t="s">
        <v>13</v>
      </c>
      <c r="N6" s="1145" t="s">
        <v>14</v>
      </c>
      <c r="O6" s="826" t="s">
        <v>971</v>
      </c>
      <c r="P6" s="826" t="s">
        <v>15</v>
      </c>
      <c r="Q6" s="826" t="s">
        <v>17</v>
      </c>
      <c r="R6" s="826" t="s">
        <v>18</v>
      </c>
      <c r="S6" s="826" t="s">
        <v>19</v>
      </c>
      <c r="T6" s="826" t="s">
        <v>20</v>
      </c>
      <c r="U6" s="825" t="s">
        <v>21</v>
      </c>
      <c r="V6" s="825"/>
      <c r="W6" s="825"/>
      <c r="X6" s="825"/>
      <c r="Y6" s="863" t="s">
        <v>22</v>
      </c>
      <c r="Z6" s="864"/>
      <c r="AA6" s="864"/>
      <c r="AB6" s="864"/>
      <c r="AC6" s="864"/>
      <c r="AD6" s="864"/>
      <c r="AE6" s="865"/>
      <c r="AF6" s="203"/>
      <c r="AG6" s="203"/>
      <c r="AH6" s="203"/>
      <c r="AI6" s="203"/>
      <c r="AJ6" s="203"/>
      <c r="AK6" s="203"/>
      <c r="AL6" s="203"/>
      <c r="AM6" s="203"/>
      <c r="AN6" s="203"/>
      <c r="AO6" s="203"/>
      <c r="AP6" s="203"/>
      <c r="AQ6" s="826" t="s">
        <v>23</v>
      </c>
      <c r="AR6" s="820" t="s">
        <v>24</v>
      </c>
      <c r="AS6" s="133"/>
      <c r="AT6" s="18" t="s">
        <v>25</v>
      </c>
      <c r="AU6" s="15" t="s">
        <v>26</v>
      </c>
      <c r="AV6" s="16" t="s">
        <v>27</v>
      </c>
      <c r="AW6" s="16" t="s">
        <v>28</v>
      </c>
      <c r="AX6" s="16" t="s">
        <v>29</v>
      </c>
    </row>
    <row r="7" spans="1:50" ht="68.25" customHeight="1" thickTop="1" thickBot="1">
      <c r="A7" s="20" t="s">
        <v>32</v>
      </c>
      <c r="B7" s="20" t="s">
        <v>33</v>
      </c>
      <c r="C7" s="20" t="s">
        <v>34</v>
      </c>
      <c r="D7" s="20" t="s">
        <v>35</v>
      </c>
      <c r="E7" s="20" t="s">
        <v>36</v>
      </c>
      <c r="F7" s="20" t="s">
        <v>972</v>
      </c>
      <c r="G7" s="20" t="s">
        <v>38</v>
      </c>
      <c r="H7" s="22" t="s">
        <v>39</v>
      </c>
      <c r="I7" s="20" t="s">
        <v>35</v>
      </c>
      <c r="J7" s="20" t="s">
        <v>36</v>
      </c>
      <c r="K7" s="20" t="s">
        <v>972</v>
      </c>
      <c r="L7" s="855"/>
      <c r="M7" s="855"/>
      <c r="N7" s="1146"/>
      <c r="O7" s="827"/>
      <c r="P7" s="827"/>
      <c r="Q7" s="827"/>
      <c r="R7" s="827"/>
      <c r="S7" s="827"/>
      <c r="T7" s="827"/>
      <c r="U7" s="20" t="s">
        <v>41</v>
      </c>
      <c r="V7" s="20" t="s">
        <v>42</v>
      </c>
      <c r="W7" s="4" t="s">
        <v>43</v>
      </c>
      <c r="X7" s="4" t="s">
        <v>44</v>
      </c>
      <c r="Y7" s="4" t="s">
        <v>45</v>
      </c>
      <c r="Z7" s="4" t="s">
        <v>46</v>
      </c>
      <c r="AA7" s="4" t="s">
        <v>47</v>
      </c>
      <c r="AB7" s="4" t="s">
        <v>48</v>
      </c>
      <c r="AC7" s="4" t="s">
        <v>49</v>
      </c>
      <c r="AD7" s="4" t="s">
        <v>50</v>
      </c>
      <c r="AE7" s="4" t="s">
        <v>51</v>
      </c>
      <c r="AF7" s="205" t="s">
        <v>52</v>
      </c>
      <c r="AG7" s="205" t="s">
        <v>53</v>
      </c>
      <c r="AH7" s="205" t="s">
        <v>54</v>
      </c>
      <c r="AI7" s="205" t="s">
        <v>55</v>
      </c>
      <c r="AJ7" s="205" t="s">
        <v>56</v>
      </c>
      <c r="AK7" s="205" t="s">
        <v>58</v>
      </c>
      <c r="AL7" s="205" t="s">
        <v>59</v>
      </c>
      <c r="AM7" s="205" t="s">
        <v>60</v>
      </c>
      <c r="AN7" s="205" t="s">
        <v>61</v>
      </c>
      <c r="AO7" s="205" t="s">
        <v>62</v>
      </c>
      <c r="AP7" s="205" t="s">
        <v>63</v>
      </c>
      <c r="AQ7" s="827"/>
      <c r="AR7" s="821" t="s">
        <v>24</v>
      </c>
      <c r="AS7" s="133"/>
    </row>
    <row r="8" spans="1:50" s="1" customFormat="1" ht="98.25" customHeight="1" thickBot="1">
      <c r="A8" s="798" t="s">
        <v>381</v>
      </c>
      <c r="B8" s="798" t="s">
        <v>382</v>
      </c>
      <c r="C8" s="798" t="s">
        <v>383</v>
      </c>
      <c r="D8" s="798"/>
      <c r="E8" s="798"/>
      <c r="F8" s="798"/>
      <c r="G8" s="798"/>
      <c r="H8" s="892" t="s">
        <v>384</v>
      </c>
      <c r="I8" s="892" t="s">
        <v>72</v>
      </c>
      <c r="J8" s="833" t="s">
        <v>69</v>
      </c>
      <c r="K8" s="833">
        <v>1</v>
      </c>
      <c r="L8" s="913"/>
      <c r="M8" s="798" t="s">
        <v>385</v>
      </c>
      <c r="N8" s="150" t="s">
        <v>1161</v>
      </c>
      <c r="O8" s="191">
        <v>6</v>
      </c>
      <c r="P8" s="191" t="s">
        <v>72</v>
      </c>
      <c r="Q8" s="147">
        <v>1</v>
      </c>
      <c r="R8" s="147">
        <v>2</v>
      </c>
      <c r="S8" s="147">
        <v>2</v>
      </c>
      <c r="T8" s="147">
        <v>1</v>
      </c>
      <c r="U8" s="189"/>
      <c r="V8" s="191"/>
      <c r="W8" s="82"/>
      <c r="X8" s="188"/>
      <c r="Y8" s="265"/>
      <c r="Z8" s="265"/>
      <c r="AA8" s="265"/>
      <c r="AB8" s="265"/>
      <c r="AC8" s="89"/>
      <c r="AD8" s="89"/>
      <c r="AE8" s="89"/>
      <c r="AF8" s="188"/>
      <c r="AG8" s="188"/>
      <c r="AH8" s="188"/>
      <c r="AI8" s="188"/>
      <c r="AJ8" s="188"/>
      <c r="AK8" s="188"/>
      <c r="AL8" s="188"/>
      <c r="AM8" s="188"/>
      <c r="AN8" s="188"/>
      <c r="AO8" s="188"/>
      <c r="AP8" s="188"/>
      <c r="AQ8" s="191" t="s">
        <v>388</v>
      </c>
      <c r="AR8" s="191" t="s">
        <v>388</v>
      </c>
      <c r="AS8" s="801"/>
    </row>
    <row r="9" spans="1:50" s="1" customFormat="1" ht="96" customHeight="1" thickBot="1">
      <c r="A9" s="798"/>
      <c r="B9" s="798"/>
      <c r="C9" s="798"/>
      <c r="D9" s="798"/>
      <c r="E9" s="798"/>
      <c r="F9" s="798"/>
      <c r="G9" s="798"/>
      <c r="H9" s="798"/>
      <c r="I9" s="798"/>
      <c r="J9" s="913"/>
      <c r="K9" s="834"/>
      <c r="L9" s="913"/>
      <c r="M9" s="798"/>
      <c r="N9" s="150" t="s">
        <v>1162</v>
      </c>
      <c r="O9" s="191">
        <v>6</v>
      </c>
      <c r="P9" s="191" t="s">
        <v>72</v>
      </c>
      <c r="Q9" s="147">
        <v>1</v>
      </c>
      <c r="R9" s="147">
        <v>2</v>
      </c>
      <c r="S9" s="147">
        <v>2</v>
      </c>
      <c r="T9" s="147">
        <v>1</v>
      </c>
      <c r="U9" s="189"/>
      <c r="V9" s="191"/>
      <c r="W9" s="82"/>
      <c r="X9" s="188"/>
      <c r="Y9" s="265"/>
      <c r="Z9" s="265"/>
      <c r="AA9" s="265"/>
      <c r="AB9" s="265"/>
      <c r="AC9" s="89"/>
      <c r="AD9" s="89"/>
      <c r="AE9" s="89"/>
      <c r="AF9" s="188"/>
      <c r="AG9" s="188"/>
      <c r="AH9" s="188"/>
      <c r="AI9" s="188"/>
      <c r="AJ9" s="188"/>
      <c r="AK9" s="188"/>
      <c r="AL9" s="188"/>
      <c r="AM9" s="188"/>
      <c r="AN9" s="188"/>
      <c r="AO9" s="188"/>
      <c r="AP9" s="188"/>
      <c r="AQ9" s="191" t="s">
        <v>388</v>
      </c>
      <c r="AR9" s="191" t="s">
        <v>388</v>
      </c>
      <c r="AS9" s="801"/>
    </row>
    <row r="10" spans="1:50" s="1" customFormat="1" ht="83.25" customHeight="1" thickBot="1">
      <c r="A10" s="798"/>
      <c r="B10" s="798"/>
      <c r="C10" s="798"/>
      <c r="D10" s="798"/>
      <c r="E10" s="798"/>
      <c r="F10" s="798"/>
      <c r="G10" s="798"/>
      <c r="H10" s="799"/>
      <c r="I10" s="807"/>
      <c r="J10" s="834"/>
      <c r="K10" s="81">
        <v>1</v>
      </c>
      <c r="L10" s="913"/>
      <c r="M10" s="798"/>
      <c r="N10" s="150" t="s">
        <v>1163</v>
      </c>
      <c r="O10" s="191">
        <v>6</v>
      </c>
      <c r="P10" s="191" t="s">
        <v>72</v>
      </c>
      <c r="Q10" s="147">
        <v>1</v>
      </c>
      <c r="R10" s="147">
        <v>2</v>
      </c>
      <c r="S10" s="147">
        <v>2</v>
      </c>
      <c r="T10" s="147">
        <v>1</v>
      </c>
      <c r="U10" s="189"/>
      <c r="V10" s="191"/>
      <c r="W10" s="82"/>
      <c r="X10" s="188"/>
      <c r="Y10" s="265"/>
      <c r="Z10" s="265"/>
      <c r="AA10" s="265"/>
      <c r="AB10" s="265"/>
      <c r="AC10" s="89"/>
      <c r="AD10" s="89"/>
      <c r="AE10" s="89"/>
      <c r="AF10" s="188"/>
      <c r="AG10" s="188"/>
      <c r="AH10" s="188"/>
      <c r="AI10" s="188"/>
      <c r="AJ10" s="188"/>
      <c r="AK10" s="188"/>
      <c r="AL10" s="188"/>
      <c r="AM10" s="188"/>
      <c r="AN10" s="188"/>
      <c r="AO10" s="188"/>
      <c r="AP10" s="188"/>
      <c r="AQ10" s="191" t="s">
        <v>388</v>
      </c>
      <c r="AR10" s="191" t="s">
        <v>388</v>
      </c>
      <c r="AS10" s="801"/>
    </row>
    <row r="11" spans="1:50" s="1" customFormat="1" ht="100.5" customHeight="1" thickBot="1">
      <c r="A11" s="798"/>
      <c r="B11" s="798"/>
      <c r="C11" s="798"/>
      <c r="D11" s="798"/>
      <c r="E11" s="798"/>
      <c r="F11" s="798"/>
      <c r="G11" s="798"/>
      <c r="H11" s="797" t="s">
        <v>390</v>
      </c>
      <c r="I11" s="892" t="s">
        <v>72</v>
      </c>
      <c r="J11" s="833" t="s">
        <v>69</v>
      </c>
      <c r="K11" s="802">
        <v>1</v>
      </c>
      <c r="L11" s="913"/>
      <c r="M11" s="798"/>
      <c r="N11" s="86" t="s">
        <v>1164</v>
      </c>
      <c r="O11" s="191">
        <v>8</v>
      </c>
      <c r="P11" s="191" t="s">
        <v>72</v>
      </c>
      <c r="Q11" s="87">
        <v>2</v>
      </c>
      <c r="R11" s="87">
        <v>2</v>
      </c>
      <c r="S11" s="87">
        <v>2</v>
      </c>
      <c r="T11" s="87">
        <v>2</v>
      </c>
      <c r="U11" s="88" t="s">
        <v>1165</v>
      </c>
      <c r="V11" s="87"/>
      <c r="W11" s="82">
        <f>18900000+10961446.0788</f>
        <v>29861446.0788</v>
      </c>
      <c r="X11" s="89">
        <f>W11</f>
        <v>29861446.0788</v>
      </c>
      <c r="Y11" s="265"/>
      <c r="Z11" s="265"/>
      <c r="AA11" s="265"/>
      <c r="AB11" s="265"/>
      <c r="AC11" s="317">
        <v>9649218</v>
      </c>
      <c r="AD11" s="89">
        <v>9649218</v>
      </c>
      <c r="AE11" s="89"/>
      <c r="AF11" s="188"/>
      <c r="AG11" s="188"/>
      <c r="AH11" s="188"/>
      <c r="AI11" s="188"/>
      <c r="AJ11" s="188"/>
      <c r="AK11" s="188"/>
      <c r="AL11" s="188"/>
      <c r="AM11" s="188"/>
      <c r="AN11" s="188"/>
      <c r="AO11" s="188"/>
      <c r="AP11" s="188"/>
      <c r="AQ11" s="191" t="s">
        <v>388</v>
      </c>
      <c r="AR11" s="191" t="s">
        <v>388</v>
      </c>
      <c r="AS11" s="801"/>
    </row>
    <row r="12" spans="1:50" s="1" customFormat="1" ht="100.5" customHeight="1" thickBot="1">
      <c r="A12" s="798"/>
      <c r="B12" s="798"/>
      <c r="C12" s="798"/>
      <c r="D12" s="798"/>
      <c r="E12" s="798"/>
      <c r="F12" s="798"/>
      <c r="G12" s="798"/>
      <c r="H12" s="799"/>
      <c r="I12" s="799"/>
      <c r="J12" s="803"/>
      <c r="K12" s="803"/>
      <c r="L12" s="913"/>
      <c r="M12" s="798"/>
      <c r="N12" s="86" t="s">
        <v>1166</v>
      </c>
      <c r="O12" s="191">
        <v>8</v>
      </c>
      <c r="P12" s="191" t="s">
        <v>72</v>
      </c>
      <c r="Q12" s="87">
        <v>2</v>
      </c>
      <c r="R12" s="87">
        <v>2</v>
      </c>
      <c r="S12" s="87">
        <v>2</v>
      </c>
      <c r="T12" s="87">
        <v>2</v>
      </c>
      <c r="U12" s="88"/>
      <c r="V12" s="87"/>
      <c r="W12" s="82"/>
      <c r="X12" s="89"/>
      <c r="Y12" s="265"/>
      <c r="Z12" s="265"/>
      <c r="AA12" s="265"/>
      <c r="AB12" s="265"/>
      <c r="AC12" s="317"/>
      <c r="AD12" s="89"/>
      <c r="AE12" s="89"/>
      <c r="AF12" s="188"/>
      <c r="AG12" s="188"/>
      <c r="AH12" s="188"/>
      <c r="AI12" s="188"/>
      <c r="AJ12" s="188"/>
      <c r="AK12" s="188"/>
      <c r="AL12" s="188"/>
      <c r="AM12" s="188"/>
      <c r="AN12" s="188"/>
      <c r="AO12" s="188"/>
      <c r="AP12" s="188"/>
      <c r="AQ12" s="191" t="s">
        <v>388</v>
      </c>
      <c r="AR12" s="191" t="s">
        <v>388</v>
      </c>
      <c r="AS12" s="801"/>
    </row>
    <row r="13" spans="1:50" s="1" customFormat="1" ht="90" customHeight="1" thickBot="1">
      <c r="A13" s="798"/>
      <c r="B13" s="798"/>
      <c r="C13" s="799"/>
      <c r="D13" s="799"/>
      <c r="E13" s="799"/>
      <c r="F13" s="799"/>
      <c r="G13" s="798"/>
      <c r="H13" s="84" t="s">
        <v>393</v>
      </c>
      <c r="I13" s="84" t="s">
        <v>93</v>
      </c>
      <c r="J13" s="83" t="s">
        <v>69</v>
      </c>
      <c r="K13" s="83">
        <v>30</v>
      </c>
      <c r="L13" s="803"/>
      <c r="M13" s="799"/>
      <c r="N13" s="86" t="s">
        <v>1167</v>
      </c>
      <c r="O13" s="87">
        <v>9</v>
      </c>
      <c r="P13" s="191" t="s">
        <v>72</v>
      </c>
      <c r="Q13" s="87">
        <v>0</v>
      </c>
      <c r="R13" s="87">
        <v>3</v>
      </c>
      <c r="S13" s="87">
        <v>3</v>
      </c>
      <c r="T13" s="87">
        <v>3</v>
      </c>
      <c r="U13" s="88" t="s">
        <v>1165</v>
      </c>
      <c r="V13" s="87"/>
      <c r="W13" s="82">
        <f>31500000+10961446.0788</f>
        <v>42461446.0788</v>
      </c>
      <c r="X13" s="89">
        <f>W13</f>
        <v>42461446.0788</v>
      </c>
      <c r="Y13" s="265"/>
      <c r="Z13" s="265"/>
      <c r="AA13" s="265"/>
      <c r="AB13" s="265"/>
      <c r="AC13" s="317">
        <v>13399218</v>
      </c>
      <c r="AD13" s="89">
        <v>13399218</v>
      </c>
      <c r="AE13" s="89"/>
      <c r="AF13" s="188"/>
      <c r="AG13" s="188"/>
      <c r="AH13" s="188"/>
      <c r="AI13" s="188"/>
      <c r="AJ13" s="188"/>
      <c r="AK13" s="188"/>
      <c r="AL13" s="188"/>
      <c r="AM13" s="188"/>
      <c r="AN13" s="188"/>
      <c r="AO13" s="188"/>
      <c r="AP13" s="188"/>
      <c r="AQ13" s="191" t="s">
        <v>388</v>
      </c>
      <c r="AR13" s="191" t="s">
        <v>388</v>
      </c>
      <c r="AS13" s="801"/>
    </row>
    <row r="14" spans="1:50" s="1" customFormat="1" ht="87" customHeight="1" thickBot="1">
      <c r="A14" s="798"/>
      <c r="B14" s="798"/>
      <c r="C14" s="797" t="s">
        <v>395</v>
      </c>
      <c r="D14" s="797" t="s">
        <v>133</v>
      </c>
      <c r="E14" s="797" t="s">
        <v>69</v>
      </c>
      <c r="F14" s="797">
        <v>1</v>
      </c>
      <c r="G14" s="798"/>
      <c r="H14" s="84" t="s">
        <v>396</v>
      </c>
      <c r="I14" s="84" t="s">
        <v>72</v>
      </c>
      <c r="J14" s="83" t="s">
        <v>69</v>
      </c>
      <c r="K14" s="83">
        <v>1</v>
      </c>
      <c r="L14" s="802"/>
      <c r="M14" s="797" t="s">
        <v>397</v>
      </c>
      <c r="N14" s="86" t="s">
        <v>394</v>
      </c>
      <c r="O14" s="87">
        <v>6</v>
      </c>
      <c r="P14" s="87" t="s">
        <v>72</v>
      </c>
      <c r="Q14" s="87">
        <v>0</v>
      </c>
      <c r="R14" s="87">
        <v>2</v>
      </c>
      <c r="S14" s="87">
        <v>2</v>
      </c>
      <c r="T14" s="87">
        <v>2</v>
      </c>
      <c r="U14" s="88" t="s">
        <v>1165</v>
      </c>
      <c r="V14" s="87"/>
      <c r="W14" s="82">
        <f>40320000+10961446.0788</f>
        <v>51281446.0788</v>
      </c>
      <c r="X14" s="89">
        <f>W14</f>
        <v>51281446.0788</v>
      </c>
      <c r="Y14" s="265"/>
      <c r="Z14" s="265"/>
      <c r="AA14" s="265"/>
      <c r="AB14" s="265"/>
      <c r="AC14" s="89">
        <v>0</v>
      </c>
      <c r="AD14" s="89">
        <v>0</v>
      </c>
      <c r="AE14" s="89"/>
      <c r="AF14" s="188"/>
      <c r="AG14" s="188"/>
      <c r="AH14" s="188"/>
      <c r="AI14" s="188"/>
      <c r="AJ14" s="188"/>
      <c r="AK14" s="188"/>
      <c r="AL14" s="188"/>
      <c r="AM14" s="188"/>
      <c r="AN14" s="188"/>
      <c r="AO14" s="188"/>
      <c r="AP14" s="188"/>
      <c r="AQ14" s="191" t="s">
        <v>388</v>
      </c>
      <c r="AR14" s="191" t="s">
        <v>388</v>
      </c>
      <c r="AS14" s="801"/>
    </row>
    <row r="15" spans="1:50" s="1" customFormat="1" ht="96" customHeight="1">
      <c r="A15" s="798"/>
      <c r="B15" s="798"/>
      <c r="C15" s="798"/>
      <c r="D15" s="798"/>
      <c r="E15" s="798"/>
      <c r="F15" s="798"/>
      <c r="G15" s="799"/>
      <c r="H15" s="84" t="s">
        <v>931</v>
      </c>
      <c r="I15" s="84" t="s">
        <v>72</v>
      </c>
      <c r="J15" s="83" t="s">
        <v>69</v>
      </c>
      <c r="K15" s="83">
        <v>1</v>
      </c>
      <c r="L15" s="803"/>
      <c r="M15" s="799"/>
      <c r="N15" s="86" t="s">
        <v>1168</v>
      </c>
      <c r="O15" s="87">
        <v>1</v>
      </c>
      <c r="P15" s="87" t="s">
        <v>72</v>
      </c>
      <c r="Q15" s="87">
        <v>0</v>
      </c>
      <c r="R15" s="87">
        <v>0</v>
      </c>
      <c r="S15" s="87">
        <v>0</v>
      </c>
      <c r="T15" s="87">
        <v>1</v>
      </c>
      <c r="U15" s="88" t="s">
        <v>1169</v>
      </c>
      <c r="V15" s="87"/>
      <c r="W15" s="82">
        <f>44100000+10961446.0788</f>
        <v>55061446.0788</v>
      </c>
      <c r="X15" s="89">
        <f>W15</f>
        <v>55061446.0788</v>
      </c>
      <c r="Y15" s="265"/>
      <c r="Z15" s="265"/>
      <c r="AA15" s="265"/>
      <c r="AB15" s="265"/>
      <c r="AC15" s="89">
        <v>10849218</v>
      </c>
      <c r="AD15" s="89">
        <v>10849218</v>
      </c>
      <c r="AE15" s="89"/>
      <c r="AF15" s="188"/>
      <c r="AG15" s="188"/>
      <c r="AH15" s="188"/>
      <c r="AI15" s="188"/>
      <c r="AJ15" s="188"/>
      <c r="AK15" s="188"/>
      <c r="AL15" s="188"/>
      <c r="AM15" s="188"/>
      <c r="AN15" s="188"/>
      <c r="AO15" s="188"/>
      <c r="AP15" s="188"/>
      <c r="AQ15" s="191" t="s">
        <v>388</v>
      </c>
      <c r="AR15" s="191" t="s">
        <v>388</v>
      </c>
      <c r="AS15" s="801"/>
    </row>
    <row r="16" spans="1:50" s="1" customFormat="1" ht="96" customHeight="1">
      <c r="A16" s="798"/>
      <c r="B16" s="798"/>
      <c r="C16" s="798"/>
      <c r="D16" s="798"/>
      <c r="E16" s="798"/>
      <c r="F16" s="798"/>
      <c r="G16" s="797" t="s">
        <v>1170</v>
      </c>
      <c r="H16" s="797" t="s">
        <v>932</v>
      </c>
      <c r="I16" s="797" t="s">
        <v>72</v>
      </c>
      <c r="J16" s="802" t="s">
        <v>69</v>
      </c>
      <c r="K16" s="802">
        <v>1</v>
      </c>
      <c r="L16" s="802"/>
      <c r="M16" s="797" t="s">
        <v>1171</v>
      </c>
      <c r="N16" s="86" t="s">
        <v>1172</v>
      </c>
      <c r="O16" s="87">
        <v>6</v>
      </c>
      <c r="P16" s="87" t="s">
        <v>72</v>
      </c>
      <c r="Q16" s="87">
        <v>1</v>
      </c>
      <c r="R16" s="87">
        <v>2</v>
      </c>
      <c r="S16" s="87">
        <v>2</v>
      </c>
      <c r="T16" s="87">
        <v>1</v>
      </c>
      <c r="U16" s="88"/>
      <c r="V16" s="87"/>
      <c r="W16" s="188"/>
      <c r="X16" s="89"/>
      <c r="Y16" s="265"/>
      <c r="Z16" s="265"/>
      <c r="AA16" s="265"/>
      <c r="AB16" s="265"/>
      <c r="AC16" s="89"/>
      <c r="AD16" s="89"/>
      <c r="AE16" s="89"/>
      <c r="AF16" s="188"/>
      <c r="AG16" s="188"/>
      <c r="AH16" s="188"/>
      <c r="AI16" s="188"/>
      <c r="AJ16" s="188"/>
      <c r="AK16" s="188"/>
      <c r="AL16" s="188"/>
      <c r="AM16" s="188"/>
      <c r="AN16" s="188"/>
      <c r="AO16" s="188"/>
      <c r="AP16" s="188"/>
      <c r="AQ16" s="191" t="s">
        <v>388</v>
      </c>
      <c r="AR16" s="191" t="s">
        <v>388</v>
      </c>
      <c r="AS16" s="801"/>
    </row>
    <row r="17" spans="1:61" s="1" customFormat="1" ht="92.25" customHeight="1">
      <c r="A17" s="799"/>
      <c r="B17" s="799"/>
      <c r="C17" s="799"/>
      <c r="D17" s="799"/>
      <c r="E17" s="799"/>
      <c r="F17" s="799"/>
      <c r="G17" s="799"/>
      <c r="H17" s="799"/>
      <c r="I17" s="799"/>
      <c r="J17" s="803"/>
      <c r="K17" s="803"/>
      <c r="L17" s="803"/>
      <c r="M17" s="799"/>
      <c r="N17" s="86" t="s">
        <v>1173</v>
      </c>
      <c r="O17" s="87">
        <v>6</v>
      </c>
      <c r="P17" s="87" t="s">
        <v>72</v>
      </c>
      <c r="Q17" s="87">
        <v>1</v>
      </c>
      <c r="R17" s="87">
        <v>2</v>
      </c>
      <c r="S17" s="87">
        <v>2</v>
      </c>
      <c r="T17" s="87">
        <v>1</v>
      </c>
      <c r="U17" s="88" t="s">
        <v>1174</v>
      </c>
      <c r="V17" s="87"/>
      <c r="W17" s="89"/>
      <c r="X17" s="89">
        <f t="shared" ref="X17:X29" si="0">W17</f>
        <v>0</v>
      </c>
      <c r="Y17" s="265"/>
      <c r="Z17" s="265"/>
      <c r="AA17" s="265"/>
      <c r="AB17" s="265"/>
      <c r="AC17" s="89"/>
      <c r="AD17" s="89"/>
      <c r="AE17" s="89"/>
      <c r="AF17" s="89"/>
      <c r="AG17" s="89"/>
      <c r="AH17" s="89"/>
      <c r="AI17" s="89"/>
      <c r="AJ17" s="89"/>
      <c r="AK17" s="89"/>
      <c r="AL17" s="89"/>
      <c r="AM17" s="89"/>
      <c r="AN17" s="89"/>
      <c r="AO17" s="89"/>
      <c r="AP17" s="89"/>
      <c r="AQ17" s="87" t="s">
        <v>406</v>
      </c>
      <c r="AR17" s="87" t="s">
        <v>406</v>
      </c>
      <c r="AS17" s="1186"/>
    </row>
    <row r="18" spans="1:61" s="250" customFormat="1" ht="92.25" customHeight="1">
      <c r="A18" s="1191" t="s">
        <v>979</v>
      </c>
      <c r="B18" s="1192"/>
      <c r="C18" s="1192"/>
      <c r="D18" s="1192"/>
      <c r="E18" s="1192"/>
      <c r="F18" s="1192"/>
      <c r="G18" s="1192"/>
      <c r="H18" s="1192"/>
      <c r="I18" s="1192"/>
      <c r="J18" s="1192"/>
      <c r="K18" s="1192"/>
      <c r="L18" s="1192"/>
      <c r="M18" s="1192"/>
      <c r="N18" s="1193"/>
      <c r="O18" s="39">
        <f>SUM(O8:O17)</f>
        <v>62</v>
      </c>
      <c r="P18" s="39" t="s">
        <v>142</v>
      </c>
      <c r="Q18" s="39">
        <f t="shared" ref="Q18:T18" si="1">SUM(Q8:Q17)</f>
        <v>9</v>
      </c>
      <c r="R18" s="39">
        <f t="shared" si="1"/>
        <v>19</v>
      </c>
      <c r="S18" s="39">
        <f t="shared" si="1"/>
        <v>19</v>
      </c>
      <c r="T18" s="39">
        <f t="shared" si="1"/>
        <v>15</v>
      </c>
      <c r="U18" s="45"/>
      <c r="V18" s="39"/>
      <c r="W18" s="42">
        <f>SUM(W8:W17)</f>
        <v>178665784.3152</v>
      </c>
      <c r="X18" s="42">
        <f>SUM(X8:X17)</f>
        <v>178665784.3152</v>
      </c>
      <c r="Y18" s="39">
        <f>SUM(Y8:Y17)</f>
        <v>0</v>
      </c>
      <c r="Z18" s="39">
        <f t="shared" ref="Z18:AB18" si="2">SUM(Z8:Z17)</f>
        <v>0</v>
      </c>
      <c r="AA18" s="39">
        <f t="shared" si="2"/>
        <v>0</v>
      </c>
      <c r="AB18" s="39">
        <f t="shared" si="2"/>
        <v>0</v>
      </c>
      <c r="AC18" s="42">
        <f>SUM(AC8:AC17)</f>
        <v>33897654</v>
      </c>
      <c r="AD18" s="42">
        <f t="shared" ref="AD18:AH18" si="3">SUM(AD8:AD17)</f>
        <v>33897654</v>
      </c>
      <c r="AE18" s="42">
        <f t="shared" si="3"/>
        <v>0</v>
      </c>
      <c r="AF18" s="42">
        <f t="shared" si="3"/>
        <v>0</v>
      </c>
      <c r="AG18" s="42">
        <f t="shared" si="3"/>
        <v>0</v>
      </c>
      <c r="AH18" s="42">
        <f t="shared" si="3"/>
        <v>0</v>
      </c>
      <c r="AI18" s="42"/>
      <c r="AJ18" s="42"/>
      <c r="AK18" s="42"/>
      <c r="AL18" s="42"/>
      <c r="AM18" s="42"/>
      <c r="AN18" s="42"/>
      <c r="AO18" s="42"/>
      <c r="AP18" s="42"/>
      <c r="AQ18" s="39"/>
      <c r="AR18" s="39"/>
      <c r="AS18" s="249"/>
      <c r="AT18" s="251"/>
      <c r="AU18" s="251"/>
      <c r="AV18" s="251"/>
      <c r="AW18" s="251"/>
      <c r="AX18" s="251"/>
      <c r="AY18" s="251"/>
      <c r="AZ18" s="251"/>
      <c r="BA18" s="251"/>
      <c r="BB18" s="251"/>
      <c r="BC18" s="251"/>
      <c r="BD18" s="251"/>
      <c r="BE18" s="251"/>
      <c r="BF18" s="251"/>
      <c r="BG18" s="251"/>
      <c r="BH18" s="251"/>
      <c r="BI18" s="251"/>
    </row>
    <row r="19" spans="1:61" s="1" customFormat="1" ht="96.75" customHeight="1">
      <c r="A19" s="797" t="s">
        <v>399</v>
      </c>
      <c r="B19" s="797" t="s">
        <v>400</v>
      </c>
      <c r="C19" s="87" t="s">
        <v>401</v>
      </c>
      <c r="D19" s="87" t="s">
        <v>93</v>
      </c>
      <c r="E19" s="87">
        <v>95</v>
      </c>
      <c r="F19" s="87">
        <v>95</v>
      </c>
      <c r="G19" s="797" t="s">
        <v>402</v>
      </c>
      <c r="H19" s="797" t="s">
        <v>403</v>
      </c>
      <c r="I19" s="797" t="s">
        <v>93</v>
      </c>
      <c r="J19" s="802">
        <v>92</v>
      </c>
      <c r="K19" s="802">
        <v>94</v>
      </c>
      <c r="L19" s="85"/>
      <c r="M19" s="83" t="s">
        <v>404</v>
      </c>
      <c r="N19" s="86" t="s">
        <v>1175</v>
      </c>
      <c r="O19" s="87">
        <v>12</v>
      </c>
      <c r="P19" s="87" t="s">
        <v>72</v>
      </c>
      <c r="Q19" s="87">
        <v>3</v>
      </c>
      <c r="R19" s="87">
        <v>3</v>
      </c>
      <c r="S19" s="87">
        <v>3</v>
      </c>
      <c r="T19" s="87">
        <v>3</v>
      </c>
      <c r="U19" s="88" t="s">
        <v>1174</v>
      </c>
      <c r="V19" s="87"/>
      <c r="W19" s="89">
        <v>20571428.571428601</v>
      </c>
      <c r="X19" s="89">
        <f t="shared" si="0"/>
        <v>20571428.571428601</v>
      </c>
      <c r="Y19" s="265"/>
      <c r="Z19" s="265"/>
      <c r="AA19" s="265"/>
      <c r="AB19" s="265"/>
      <c r="AC19" s="89">
        <v>3000000</v>
      </c>
      <c r="AD19" s="89">
        <v>3000000</v>
      </c>
      <c r="AE19" s="89"/>
      <c r="AF19" s="89"/>
      <c r="AG19" s="89"/>
      <c r="AH19" s="89"/>
      <c r="AI19" s="89"/>
      <c r="AJ19" s="89"/>
      <c r="AK19" s="89"/>
      <c r="AL19" s="89"/>
      <c r="AM19" s="89"/>
      <c r="AN19" s="89"/>
      <c r="AO19" s="89"/>
      <c r="AP19" s="89"/>
      <c r="AQ19" s="87" t="s">
        <v>406</v>
      </c>
      <c r="AR19" s="87" t="s">
        <v>406</v>
      </c>
      <c r="AS19" s="788" t="s">
        <v>1176</v>
      </c>
    </row>
    <row r="20" spans="1:61" s="1" customFormat="1" ht="96.75" customHeight="1">
      <c r="A20" s="798"/>
      <c r="B20" s="798"/>
      <c r="C20" s="92"/>
      <c r="D20" s="92"/>
      <c r="E20" s="92"/>
      <c r="F20" s="92"/>
      <c r="G20" s="798"/>
      <c r="H20" s="798"/>
      <c r="I20" s="798"/>
      <c r="J20" s="913"/>
      <c r="K20" s="913"/>
      <c r="L20" s="85"/>
      <c r="M20" s="797" t="s">
        <v>408</v>
      </c>
      <c r="N20" s="86" t="s">
        <v>1177</v>
      </c>
      <c r="O20" s="87">
        <v>6</v>
      </c>
      <c r="P20" s="87" t="s">
        <v>72</v>
      </c>
      <c r="Q20" s="87">
        <v>1</v>
      </c>
      <c r="R20" s="87">
        <v>2</v>
      </c>
      <c r="S20" s="87">
        <v>2</v>
      </c>
      <c r="T20" s="87">
        <v>1</v>
      </c>
      <c r="U20" s="1187" t="s">
        <v>1174</v>
      </c>
      <c r="V20" s="797"/>
      <c r="W20" s="1189">
        <v>20571428.571428601</v>
      </c>
      <c r="X20" s="89"/>
      <c r="Y20" s="265"/>
      <c r="Z20" s="265"/>
      <c r="AA20" s="265"/>
      <c r="AB20" s="265"/>
      <c r="AC20" s="89">
        <v>3000000</v>
      </c>
      <c r="AD20" s="89">
        <v>3000000</v>
      </c>
      <c r="AE20" s="89"/>
      <c r="AF20" s="89"/>
      <c r="AG20" s="89"/>
      <c r="AH20" s="89"/>
      <c r="AI20" s="89"/>
      <c r="AJ20" s="89"/>
      <c r="AK20" s="89"/>
      <c r="AL20" s="89"/>
      <c r="AM20" s="89"/>
      <c r="AN20" s="89"/>
      <c r="AO20" s="89"/>
      <c r="AP20" s="89"/>
      <c r="AQ20" s="87" t="s">
        <v>406</v>
      </c>
      <c r="AR20" s="87" t="s">
        <v>406</v>
      </c>
      <c r="AS20" s="789"/>
    </row>
    <row r="21" spans="1:61" s="1" customFormat="1" ht="100.5" customHeight="1">
      <c r="A21" s="798"/>
      <c r="B21" s="798"/>
      <c r="C21" s="797" t="s">
        <v>411</v>
      </c>
      <c r="D21" s="797" t="s">
        <v>93</v>
      </c>
      <c r="E21" s="797">
        <v>100</v>
      </c>
      <c r="F21" s="797">
        <v>100</v>
      </c>
      <c r="G21" s="799"/>
      <c r="H21" s="799"/>
      <c r="I21" s="799"/>
      <c r="J21" s="803"/>
      <c r="K21" s="803"/>
      <c r="L21" s="85"/>
      <c r="M21" s="799"/>
      <c r="N21" s="86" t="s">
        <v>1178</v>
      </c>
      <c r="O21" s="87">
        <v>6</v>
      </c>
      <c r="P21" s="87" t="s">
        <v>72</v>
      </c>
      <c r="Q21" s="87">
        <v>1</v>
      </c>
      <c r="R21" s="87">
        <v>2</v>
      </c>
      <c r="S21" s="87">
        <v>2</v>
      </c>
      <c r="T21" s="87">
        <v>1</v>
      </c>
      <c r="U21" s="1188"/>
      <c r="V21" s="799"/>
      <c r="W21" s="1190"/>
      <c r="X21" s="89">
        <f>W20</f>
        <v>20571428.571428601</v>
      </c>
      <c r="Y21" s="265"/>
      <c r="Z21" s="265"/>
      <c r="AA21" s="265"/>
      <c r="AB21" s="265"/>
      <c r="AC21" s="89">
        <v>3000000</v>
      </c>
      <c r="AD21" s="89">
        <v>3000000</v>
      </c>
      <c r="AE21" s="89"/>
      <c r="AF21" s="89"/>
      <c r="AG21" s="89"/>
      <c r="AH21" s="89"/>
      <c r="AI21" s="89"/>
      <c r="AJ21" s="89"/>
      <c r="AK21" s="89"/>
      <c r="AL21" s="89"/>
      <c r="AM21" s="89"/>
      <c r="AN21" s="89"/>
      <c r="AO21" s="89"/>
      <c r="AP21" s="89"/>
      <c r="AQ21" s="87" t="s">
        <v>406</v>
      </c>
      <c r="AR21" s="87" t="s">
        <v>406</v>
      </c>
      <c r="AS21" s="789"/>
    </row>
    <row r="22" spans="1:61" s="1" customFormat="1" ht="106.5" customHeight="1">
      <c r="A22" s="798"/>
      <c r="B22" s="798"/>
      <c r="C22" s="798"/>
      <c r="D22" s="798"/>
      <c r="E22" s="798"/>
      <c r="F22" s="798"/>
      <c r="G22" s="797" t="s">
        <v>413</v>
      </c>
      <c r="H22" s="797" t="s">
        <v>414</v>
      </c>
      <c r="I22" s="797" t="s">
        <v>93</v>
      </c>
      <c r="J22" s="802">
        <v>100</v>
      </c>
      <c r="K22" s="802">
        <v>100</v>
      </c>
      <c r="L22" s="85"/>
      <c r="M22" s="802" t="s">
        <v>415</v>
      </c>
      <c r="N22" s="86" t="s">
        <v>416</v>
      </c>
      <c r="O22" s="87">
        <v>6</v>
      </c>
      <c r="P22" s="87" t="s">
        <v>72</v>
      </c>
      <c r="Q22" s="87">
        <v>1</v>
      </c>
      <c r="R22" s="87">
        <v>2</v>
      </c>
      <c r="S22" s="87">
        <v>2</v>
      </c>
      <c r="T22" s="87">
        <v>1</v>
      </c>
      <c r="U22" s="1187" t="s">
        <v>1174</v>
      </c>
      <c r="V22" s="797"/>
      <c r="W22" s="1189">
        <v>20571428.571428601</v>
      </c>
      <c r="X22" s="1189">
        <f t="shared" si="0"/>
        <v>20571428.571428601</v>
      </c>
      <c r="Y22" s="265"/>
      <c r="Z22" s="265"/>
      <c r="AA22" s="265"/>
      <c r="AB22" s="265"/>
      <c r="AC22" s="89">
        <v>3000000</v>
      </c>
      <c r="AD22" s="89">
        <v>3000000</v>
      </c>
      <c r="AE22" s="89"/>
      <c r="AF22" s="89"/>
      <c r="AG22" s="89"/>
      <c r="AH22" s="89"/>
      <c r="AI22" s="89"/>
      <c r="AJ22" s="89"/>
      <c r="AK22" s="89"/>
      <c r="AL22" s="89"/>
      <c r="AM22" s="89"/>
      <c r="AN22" s="89"/>
      <c r="AO22" s="89"/>
      <c r="AP22" s="89"/>
      <c r="AQ22" s="87" t="s">
        <v>406</v>
      </c>
      <c r="AR22" s="87" t="s">
        <v>406</v>
      </c>
      <c r="AS22" s="789"/>
    </row>
    <row r="23" spans="1:61" s="1" customFormat="1" ht="75.75" customHeight="1">
      <c r="A23" s="798"/>
      <c r="B23" s="798"/>
      <c r="C23" s="798"/>
      <c r="D23" s="798"/>
      <c r="E23" s="798"/>
      <c r="F23" s="798"/>
      <c r="G23" s="798"/>
      <c r="H23" s="798"/>
      <c r="I23" s="798"/>
      <c r="J23" s="913"/>
      <c r="K23" s="913"/>
      <c r="L23" s="85"/>
      <c r="M23" s="803"/>
      <c r="N23" s="86" t="s">
        <v>1179</v>
      </c>
      <c r="O23" s="87">
        <v>6</v>
      </c>
      <c r="P23" s="87" t="s">
        <v>72</v>
      </c>
      <c r="Q23" s="87">
        <v>1</v>
      </c>
      <c r="R23" s="87">
        <v>2</v>
      </c>
      <c r="S23" s="87">
        <v>2</v>
      </c>
      <c r="T23" s="87">
        <v>1</v>
      </c>
      <c r="U23" s="1188"/>
      <c r="V23" s="799"/>
      <c r="W23" s="1190"/>
      <c r="X23" s="1190"/>
      <c r="Y23" s="265"/>
      <c r="Z23" s="265"/>
      <c r="AA23" s="265"/>
      <c r="AB23" s="265"/>
      <c r="AC23" s="89">
        <v>3000000</v>
      </c>
      <c r="AD23" s="89">
        <v>3000000</v>
      </c>
      <c r="AE23" s="89"/>
      <c r="AF23" s="89"/>
      <c r="AG23" s="89"/>
      <c r="AH23" s="89"/>
      <c r="AI23" s="89"/>
      <c r="AJ23" s="89"/>
      <c r="AK23" s="89"/>
      <c r="AL23" s="89"/>
      <c r="AM23" s="89"/>
      <c r="AN23" s="89"/>
      <c r="AO23" s="89"/>
      <c r="AP23" s="89"/>
      <c r="AQ23" s="87" t="s">
        <v>406</v>
      </c>
      <c r="AR23" s="87" t="s">
        <v>406</v>
      </c>
      <c r="AS23" s="789"/>
    </row>
    <row r="24" spans="1:61" s="1" customFormat="1" ht="42.75" customHeight="1">
      <c r="A24" s="798"/>
      <c r="B24" s="798"/>
      <c r="C24" s="798"/>
      <c r="D24" s="798"/>
      <c r="E24" s="798"/>
      <c r="F24" s="798"/>
      <c r="G24" s="798"/>
      <c r="H24" s="798"/>
      <c r="I24" s="798"/>
      <c r="J24" s="913"/>
      <c r="K24" s="913"/>
      <c r="L24" s="85"/>
      <c r="M24" s="83" t="s">
        <v>1180</v>
      </c>
      <c r="N24" s="86" t="s">
        <v>1181</v>
      </c>
      <c r="O24" s="87">
        <v>2</v>
      </c>
      <c r="P24" s="87" t="s">
        <v>72</v>
      </c>
      <c r="Q24" s="87">
        <v>1</v>
      </c>
      <c r="R24" s="87">
        <v>0</v>
      </c>
      <c r="S24" s="87">
        <v>0</v>
      </c>
      <c r="T24" s="87">
        <v>1</v>
      </c>
      <c r="U24" s="88" t="s">
        <v>1174</v>
      </c>
      <c r="V24" s="84"/>
      <c r="W24" s="151">
        <v>20571428.571428601</v>
      </c>
      <c r="X24" s="89">
        <f>W24</f>
        <v>20571428.571428601</v>
      </c>
      <c r="Y24" s="265"/>
      <c r="Z24" s="265"/>
      <c r="AA24" s="265"/>
      <c r="AB24" s="265"/>
      <c r="AC24" s="89">
        <v>3000000</v>
      </c>
      <c r="AD24" s="89">
        <v>3000000</v>
      </c>
      <c r="AE24" s="89"/>
      <c r="AF24" s="89"/>
      <c r="AG24" s="89"/>
      <c r="AH24" s="89"/>
      <c r="AI24" s="89"/>
      <c r="AJ24" s="89"/>
      <c r="AK24" s="89"/>
      <c r="AL24" s="89"/>
      <c r="AM24" s="89"/>
      <c r="AN24" s="89"/>
      <c r="AO24" s="89"/>
      <c r="AP24" s="89"/>
      <c r="AQ24" s="87" t="s">
        <v>406</v>
      </c>
      <c r="AR24" s="87" t="s">
        <v>406</v>
      </c>
      <c r="AS24" s="789"/>
    </row>
    <row r="25" spans="1:61" s="1" customFormat="1" ht="42.75" customHeight="1">
      <c r="A25" s="798"/>
      <c r="B25" s="798"/>
      <c r="C25" s="798"/>
      <c r="D25" s="798"/>
      <c r="E25" s="798"/>
      <c r="F25" s="798"/>
      <c r="G25" s="798"/>
      <c r="H25" s="798"/>
      <c r="I25" s="798"/>
      <c r="J25" s="913"/>
      <c r="K25" s="913"/>
      <c r="L25" s="85"/>
      <c r="M25" s="802" t="s">
        <v>1182</v>
      </c>
      <c r="N25" s="86" t="s">
        <v>1183</v>
      </c>
      <c r="O25" s="87">
        <v>6</v>
      </c>
      <c r="P25" s="87" t="s">
        <v>72</v>
      </c>
      <c r="Q25" s="87">
        <v>1</v>
      </c>
      <c r="R25" s="87">
        <v>2</v>
      </c>
      <c r="S25" s="87">
        <v>2</v>
      </c>
      <c r="T25" s="87">
        <v>1</v>
      </c>
      <c r="U25" s="1187" t="s">
        <v>1174</v>
      </c>
      <c r="V25" s="797"/>
      <c r="W25" s="1189">
        <v>20571428.571428601</v>
      </c>
      <c r="X25" s="1189">
        <f>W25</f>
        <v>20571428.571428601</v>
      </c>
      <c r="Y25" s="265"/>
      <c r="Z25" s="265"/>
      <c r="AA25" s="265"/>
      <c r="AB25" s="265"/>
      <c r="AC25" s="89">
        <v>3000000</v>
      </c>
      <c r="AD25" s="89">
        <v>3000000</v>
      </c>
      <c r="AE25" s="89"/>
      <c r="AF25" s="89"/>
      <c r="AG25" s="89"/>
      <c r="AH25" s="89"/>
      <c r="AI25" s="89"/>
      <c r="AJ25" s="89"/>
      <c r="AK25" s="89"/>
      <c r="AL25" s="89"/>
      <c r="AM25" s="89"/>
      <c r="AN25" s="89"/>
      <c r="AO25" s="89"/>
      <c r="AP25" s="89"/>
      <c r="AQ25" s="87" t="s">
        <v>406</v>
      </c>
      <c r="AR25" s="87" t="s">
        <v>406</v>
      </c>
      <c r="AS25" s="789"/>
    </row>
    <row r="26" spans="1:61" s="1" customFormat="1" ht="63" customHeight="1">
      <c r="A26" s="798"/>
      <c r="B26" s="798"/>
      <c r="C26" s="798"/>
      <c r="D26" s="798"/>
      <c r="E26" s="798"/>
      <c r="F26" s="798"/>
      <c r="G26" s="798"/>
      <c r="H26" s="798"/>
      <c r="I26" s="798"/>
      <c r="J26" s="913"/>
      <c r="K26" s="913"/>
      <c r="L26" s="85"/>
      <c r="M26" s="913"/>
      <c r="N26" s="86" t="s">
        <v>418</v>
      </c>
      <c r="O26" s="87">
        <v>6</v>
      </c>
      <c r="P26" s="87" t="s">
        <v>72</v>
      </c>
      <c r="Q26" s="87">
        <v>1</v>
      </c>
      <c r="R26" s="87">
        <v>2</v>
      </c>
      <c r="S26" s="87">
        <v>2</v>
      </c>
      <c r="T26" s="87">
        <v>1</v>
      </c>
      <c r="U26" s="1194"/>
      <c r="V26" s="798"/>
      <c r="W26" s="1195"/>
      <c r="X26" s="1195"/>
      <c r="Y26" s="265"/>
      <c r="Z26" s="265"/>
      <c r="AA26" s="265"/>
      <c r="AB26" s="265"/>
      <c r="AC26" s="89">
        <v>3000000</v>
      </c>
      <c r="AD26" s="89">
        <v>3000000</v>
      </c>
      <c r="AE26" s="89"/>
      <c r="AF26" s="89"/>
      <c r="AG26" s="89"/>
      <c r="AH26" s="89"/>
      <c r="AI26" s="89"/>
      <c r="AJ26" s="89"/>
      <c r="AK26" s="89"/>
      <c r="AL26" s="89"/>
      <c r="AM26" s="89"/>
      <c r="AN26" s="89"/>
      <c r="AO26" s="89"/>
      <c r="AP26" s="89"/>
      <c r="AQ26" s="87" t="s">
        <v>406</v>
      </c>
      <c r="AR26" s="87" t="s">
        <v>406</v>
      </c>
      <c r="AS26" s="789"/>
    </row>
    <row r="27" spans="1:61" s="1" customFormat="1" ht="96" customHeight="1">
      <c r="A27" s="798"/>
      <c r="B27" s="798"/>
      <c r="C27" s="798"/>
      <c r="D27" s="798"/>
      <c r="E27" s="798"/>
      <c r="F27" s="798"/>
      <c r="G27" s="798"/>
      <c r="H27" s="798"/>
      <c r="I27" s="798"/>
      <c r="J27" s="913"/>
      <c r="K27" s="913"/>
      <c r="L27" s="85"/>
      <c r="M27" s="803"/>
      <c r="N27" s="86" t="s">
        <v>1184</v>
      </c>
      <c r="O27" s="87">
        <v>6</v>
      </c>
      <c r="P27" s="87" t="s">
        <v>72</v>
      </c>
      <c r="Q27" s="87">
        <v>1</v>
      </c>
      <c r="R27" s="87">
        <v>2</v>
      </c>
      <c r="S27" s="87">
        <v>2</v>
      </c>
      <c r="T27" s="87">
        <v>1</v>
      </c>
      <c r="U27" s="1188"/>
      <c r="V27" s="799"/>
      <c r="W27" s="1190"/>
      <c r="X27" s="1190"/>
      <c r="Y27" s="265"/>
      <c r="Z27" s="265"/>
      <c r="AA27" s="265"/>
      <c r="AB27" s="265"/>
      <c r="AC27" s="89">
        <v>3000000</v>
      </c>
      <c r="AD27" s="89">
        <v>3000000</v>
      </c>
      <c r="AE27" s="89"/>
      <c r="AF27" s="89"/>
      <c r="AG27" s="89"/>
      <c r="AH27" s="89"/>
      <c r="AI27" s="89"/>
      <c r="AJ27" s="89"/>
      <c r="AK27" s="89"/>
      <c r="AL27" s="89"/>
      <c r="AM27" s="89"/>
      <c r="AN27" s="89"/>
      <c r="AO27" s="89"/>
      <c r="AP27" s="89"/>
      <c r="AQ27" s="87" t="s">
        <v>406</v>
      </c>
      <c r="AR27" s="87" t="s">
        <v>406</v>
      </c>
      <c r="AS27" s="789"/>
    </row>
    <row r="28" spans="1:61" s="1" customFormat="1" ht="126" customHeight="1">
      <c r="A28" s="798"/>
      <c r="B28" s="798"/>
      <c r="C28" s="798"/>
      <c r="D28" s="798"/>
      <c r="E28" s="798"/>
      <c r="F28" s="798"/>
      <c r="G28" s="798"/>
      <c r="H28" s="798"/>
      <c r="I28" s="798"/>
      <c r="J28" s="913"/>
      <c r="K28" s="913"/>
      <c r="L28" s="85"/>
      <c r="M28" s="87" t="s">
        <v>1185</v>
      </c>
      <c r="N28" s="86" t="s">
        <v>1186</v>
      </c>
      <c r="O28" s="87">
        <v>10</v>
      </c>
      <c r="P28" s="87" t="s">
        <v>72</v>
      </c>
      <c r="Q28" s="87">
        <v>1</v>
      </c>
      <c r="R28" s="87">
        <v>3</v>
      </c>
      <c r="S28" s="87">
        <v>3</v>
      </c>
      <c r="T28" s="87">
        <v>3</v>
      </c>
      <c r="U28" s="88" t="s">
        <v>1174</v>
      </c>
      <c r="V28" s="87"/>
      <c r="W28" s="89">
        <v>20571428.571428601</v>
      </c>
      <c r="X28" s="89">
        <f t="shared" si="0"/>
        <v>20571428.571428601</v>
      </c>
      <c r="Y28" s="265"/>
      <c r="Z28" s="265"/>
      <c r="AA28" s="265"/>
      <c r="AB28" s="265"/>
      <c r="AC28" s="89">
        <v>3000000</v>
      </c>
      <c r="AD28" s="89">
        <v>3000000</v>
      </c>
      <c r="AE28" s="89"/>
      <c r="AF28" s="89"/>
      <c r="AG28" s="89"/>
      <c r="AH28" s="89"/>
      <c r="AI28" s="89"/>
      <c r="AJ28" s="89"/>
      <c r="AK28" s="89"/>
      <c r="AL28" s="89"/>
      <c r="AM28" s="89"/>
      <c r="AN28" s="89"/>
      <c r="AO28" s="89"/>
      <c r="AP28" s="89"/>
      <c r="AQ28" s="87" t="s">
        <v>406</v>
      </c>
      <c r="AR28" s="87" t="s">
        <v>406</v>
      </c>
      <c r="AS28" s="789"/>
    </row>
    <row r="29" spans="1:61" s="1" customFormat="1" ht="75" customHeight="1" thickBot="1">
      <c r="A29" s="807"/>
      <c r="B29" s="807"/>
      <c r="C29" s="807"/>
      <c r="D29" s="807"/>
      <c r="E29" s="807"/>
      <c r="F29" s="807"/>
      <c r="G29" s="807"/>
      <c r="H29" s="807"/>
      <c r="I29" s="807"/>
      <c r="J29" s="834"/>
      <c r="K29" s="834"/>
      <c r="L29" s="93"/>
      <c r="M29" s="92" t="s">
        <v>420</v>
      </c>
      <c r="N29" s="94" t="s">
        <v>1187</v>
      </c>
      <c r="O29" s="87">
        <v>10</v>
      </c>
      <c r="P29" s="87" t="s">
        <v>72</v>
      </c>
      <c r="Q29" s="87">
        <v>1</v>
      </c>
      <c r="R29" s="87">
        <v>3</v>
      </c>
      <c r="S29" s="87">
        <v>3</v>
      </c>
      <c r="T29" s="87">
        <v>3</v>
      </c>
      <c r="U29" s="92" t="s">
        <v>1174</v>
      </c>
      <c r="V29" s="92"/>
      <c r="W29" s="187">
        <v>20571428.571428601</v>
      </c>
      <c r="X29" s="89">
        <f t="shared" si="0"/>
        <v>20571428.571428601</v>
      </c>
      <c r="Y29" s="265"/>
      <c r="Z29" s="265"/>
      <c r="AA29" s="265"/>
      <c r="AB29" s="265"/>
      <c r="AC29" s="89">
        <v>3000000</v>
      </c>
      <c r="AD29" s="89">
        <v>3000000</v>
      </c>
      <c r="AE29" s="89"/>
      <c r="AF29" s="89"/>
      <c r="AG29" s="89"/>
      <c r="AH29" s="89"/>
      <c r="AI29" s="89"/>
      <c r="AJ29" s="89"/>
      <c r="AK29" s="89"/>
      <c r="AL29" s="89"/>
      <c r="AM29" s="89"/>
      <c r="AN29" s="89"/>
      <c r="AO29" s="89"/>
      <c r="AP29" s="89"/>
      <c r="AQ29" s="87" t="s">
        <v>406</v>
      </c>
      <c r="AR29" s="87" t="s">
        <v>406</v>
      </c>
      <c r="AS29" s="790"/>
    </row>
    <row r="30" spans="1:61" s="1" customFormat="1" ht="52.5" customHeight="1">
      <c r="A30" s="1191" t="s">
        <v>979</v>
      </c>
      <c r="B30" s="1192"/>
      <c r="C30" s="1192"/>
      <c r="D30" s="1192"/>
      <c r="E30" s="1192"/>
      <c r="F30" s="1192"/>
      <c r="G30" s="1192"/>
      <c r="H30" s="1192"/>
      <c r="I30" s="1192"/>
      <c r="J30" s="1192"/>
      <c r="K30" s="1192"/>
      <c r="L30" s="1192"/>
      <c r="M30" s="1192"/>
      <c r="N30" s="1193"/>
      <c r="O30" s="39">
        <f>SUM(O19:O29)</f>
        <v>76</v>
      </c>
      <c r="P30" s="39" t="s">
        <v>72</v>
      </c>
      <c r="Q30" s="39">
        <f>SUM(Q19:Q29)</f>
        <v>13</v>
      </c>
      <c r="R30" s="39">
        <f t="shared" ref="R30:T30" si="4">SUM(R19:R29)</f>
        <v>23</v>
      </c>
      <c r="S30" s="39">
        <f t="shared" si="4"/>
        <v>23</v>
      </c>
      <c r="T30" s="39">
        <f t="shared" si="4"/>
        <v>17</v>
      </c>
      <c r="U30" s="45"/>
      <c r="V30" s="39"/>
      <c r="W30" s="42">
        <f>SUM(W19:W29)</f>
        <v>144000000.00000021</v>
      </c>
      <c r="X30" s="42">
        <f>SUM(X19:X29)</f>
        <v>144000000.00000021</v>
      </c>
      <c r="Y30" s="39">
        <f>SUM(Y19:Y29)</f>
        <v>0</v>
      </c>
      <c r="Z30" s="39">
        <f t="shared" ref="Z30:AB30" si="5">SUM(Z19:Z29)</f>
        <v>0</v>
      </c>
      <c r="AA30" s="39">
        <f t="shared" si="5"/>
        <v>0</v>
      </c>
      <c r="AB30" s="39">
        <f t="shared" si="5"/>
        <v>0</v>
      </c>
      <c r="AC30" s="42">
        <f>SUM(AC19:AC29)</f>
        <v>33000000</v>
      </c>
      <c r="AD30" s="42">
        <f t="shared" ref="AD30:AH30" si="6">SUM(AD19:AD29)</f>
        <v>33000000</v>
      </c>
      <c r="AE30" s="42">
        <f t="shared" si="6"/>
        <v>0</v>
      </c>
      <c r="AF30" s="42">
        <f t="shared" si="6"/>
        <v>0</v>
      </c>
      <c r="AG30" s="42">
        <f t="shared" si="6"/>
        <v>0</v>
      </c>
      <c r="AH30" s="42">
        <f t="shared" si="6"/>
        <v>0</v>
      </c>
      <c r="AI30" s="42"/>
      <c r="AJ30" s="42"/>
      <c r="AK30" s="42"/>
      <c r="AL30" s="42"/>
      <c r="AM30" s="42"/>
      <c r="AN30" s="42"/>
      <c r="AO30" s="42"/>
      <c r="AP30" s="42"/>
      <c r="AQ30" s="39"/>
      <c r="AR30" s="39"/>
    </row>
    <row r="31" spans="1:61" s="1" customFormat="1">
      <c r="A31" s="3"/>
      <c r="B31" s="3"/>
      <c r="C31" s="3"/>
      <c r="D31" s="3"/>
      <c r="E31" s="3"/>
      <c r="F31" s="3"/>
      <c r="G31" s="3"/>
      <c r="H31" s="3"/>
      <c r="I31" s="3"/>
      <c r="N31" s="5"/>
      <c r="O31" s="3"/>
      <c r="P31" s="3"/>
      <c r="Q31" s="3"/>
      <c r="R31" s="3"/>
      <c r="S31" s="3"/>
      <c r="T31" s="3"/>
      <c r="U31" s="3">
        <v>90692582256</v>
      </c>
      <c r="V31" s="3"/>
      <c r="W31" s="7"/>
      <c r="X31" s="8"/>
      <c r="Y31" s="8"/>
      <c r="Z31" s="8"/>
      <c r="AA31" s="8"/>
      <c r="AB31" s="8"/>
      <c r="AC31" s="8"/>
      <c r="AD31" s="8"/>
      <c r="AE31" s="8"/>
      <c r="AF31" s="8"/>
      <c r="AG31" s="8"/>
      <c r="AH31" s="8"/>
      <c r="AI31" s="8"/>
      <c r="AJ31" s="8"/>
      <c r="AK31" s="8"/>
      <c r="AL31" s="8"/>
      <c r="AM31" s="8"/>
      <c r="AN31" s="8"/>
      <c r="AO31" s="8"/>
      <c r="AP31" s="8"/>
      <c r="AQ31" s="3"/>
      <c r="AR31" s="3"/>
    </row>
    <row r="32" spans="1:61" s="1" customFormat="1">
      <c r="A32" s="3"/>
      <c r="B32" s="3"/>
      <c r="C32" s="3"/>
      <c r="D32" s="3"/>
      <c r="E32" s="3"/>
      <c r="F32" s="3"/>
      <c r="G32" s="3"/>
      <c r="H32" s="3"/>
      <c r="I32" s="3"/>
      <c r="N32" s="5"/>
      <c r="O32" s="3"/>
      <c r="P32" s="3"/>
      <c r="Q32" s="3"/>
      <c r="R32" s="3"/>
      <c r="S32" s="3"/>
      <c r="T32" s="3"/>
      <c r="U32" s="3">
        <v>59707696938</v>
      </c>
      <c r="V32" s="3"/>
      <c r="W32" s="7"/>
      <c r="X32" s="11" t="e">
        <f>#REF!-#REF!</f>
        <v>#REF!</v>
      </c>
      <c r="Y32" s="11"/>
      <c r="Z32" s="11"/>
      <c r="AA32" s="11"/>
      <c r="AB32" s="11"/>
      <c r="AC32" s="11"/>
      <c r="AD32" s="11"/>
      <c r="AE32" s="11"/>
      <c r="AF32" s="11"/>
      <c r="AG32" s="11"/>
      <c r="AH32" s="11"/>
      <c r="AI32" s="11"/>
      <c r="AJ32" s="11"/>
      <c r="AK32" s="11"/>
      <c r="AL32" s="11"/>
      <c r="AM32" s="11"/>
      <c r="AN32" s="11"/>
      <c r="AO32" s="11"/>
      <c r="AP32" s="11"/>
      <c r="AQ32" s="3"/>
      <c r="AR32" s="3"/>
    </row>
    <row r="33" spans="1:44" s="1" customFormat="1">
      <c r="A33" s="3"/>
      <c r="B33" s="3"/>
      <c r="C33" s="3"/>
      <c r="D33" s="3"/>
      <c r="E33" s="3"/>
      <c r="F33" s="3"/>
      <c r="G33" s="3"/>
      <c r="H33" s="3"/>
      <c r="M33" s="5"/>
      <c r="N33" s="3"/>
      <c r="O33" s="3"/>
      <c r="P33" s="3"/>
      <c r="Q33" s="3"/>
      <c r="R33" s="3"/>
      <c r="S33" s="3"/>
      <c r="T33" s="3"/>
      <c r="U33" s="3">
        <f>+U31-U32</f>
        <v>30984885318</v>
      </c>
      <c r="V33" s="3"/>
      <c r="W33" s="7"/>
      <c r="X33" s="7"/>
      <c r="Y33" s="7"/>
      <c r="Z33" s="7"/>
      <c r="AA33" s="7"/>
      <c r="AB33" s="7"/>
      <c r="AC33" s="7"/>
      <c r="AD33" s="7"/>
      <c r="AE33" s="7"/>
      <c r="AF33" s="7"/>
      <c r="AG33" s="7"/>
      <c r="AH33" s="7"/>
      <c r="AI33" s="7"/>
      <c r="AJ33" s="7"/>
      <c r="AK33" s="7"/>
      <c r="AL33" s="7"/>
      <c r="AM33" s="7"/>
      <c r="AN33" s="7"/>
      <c r="AO33" s="7"/>
      <c r="AP33" s="7"/>
      <c r="AQ33" s="3"/>
      <c r="AR33" s="3"/>
    </row>
    <row r="34" spans="1:44" s="1" customFormat="1" ht="15">
      <c r="A34" s="1108" t="s">
        <v>995</v>
      </c>
      <c r="B34" s="1108"/>
      <c r="C34" s="1108"/>
      <c r="D34" s="1108"/>
      <c r="E34" s="1108"/>
      <c r="F34" s="1108"/>
      <c r="G34" s="1108"/>
      <c r="H34" s="1108"/>
      <c r="I34" s="1108"/>
      <c r="J34" s="1108"/>
      <c r="K34" s="1108"/>
      <c r="L34" s="1108"/>
      <c r="M34" s="1108"/>
      <c r="N34" s="1108"/>
      <c r="O34" s="1108"/>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3"/>
      <c r="AR34" s="3"/>
    </row>
    <row r="35" spans="1:44" s="1" customFormat="1" ht="60">
      <c r="A35" s="223" t="s">
        <v>996</v>
      </c>
      <c r="B35" s="224" t="s">
        <v>997</v>
      </c>
      <c r="C35" s="224" t="s">
        <v>998</v>
      </c>
      <c r="D35" s="224" t="s">
        <v>660</v>
      </c>
      <c r="E35" s="224" t="s">
        <v>999</v>
      </c>
      <c r="F35" s="224" t="s">
        <v>660</v>
      </c>
      <c r="G35" s="224" t="s">
        <v>1000</v>
      </c>
      <c r="H35" s="224" t="s">
        <v>660</v>
      </c>
      <c r="I35" s="224"/>
      <c r="J35" s="225"/>
      <c r="K35" s="225"/>
      <c r="L35" s="225"/>
      <c r="M35" s="224" t="s">
        <v>660</v>
      </c>
      <c r="N35" s="224" t="s">
        <v>1001</v>
      </c>
      <c r="O35" s="224" t="s">
        <v>660</v>
      </c>
      <c r="P35" s="3"/>
      <c r="Q35" s="3"/>
      <c r="R35" s="3"/>
      <c r="S35" s="3"/>
      <c r="T35" s="3"/>
      <c r="U35" s="3"/>
      <c r="V35" s="3"/>
      <c r="W35" s="7"/>
      <c r="X35" s="7" t="e">
        <f>#REF!-X37</f>
        <v>#REF!</v>
      </c>
      <c r="Y35" s="7"/>
      <c r="Z35" s="7"/>
      <c r="AA35" s="7"/>
      <c r="AB35" s="7"/>
      <c r="AC35" s="7"/>
      <c r="AD35" s="7"/>
      <c r="AE35" s="7"/>
      <c r="AF35" s="7"/>
      <c r="AG35" s="7"/>
      <c r="AH35" s="7"/>
      <c r="AI35" s="7"/>
      <c r="AJ35" s="7"/>
      <c r="AK35" s="7"/>
      <c r="AL35" s="7"/>
      <c r="AM35" s="7"/>
      <c r="AN35" s="7"/>
      <c r="AO35" s="7"/>
      <c r="AP35" s="7"/>
      <c r="AQ35" s="3"/>
      <c r="AR35" s="3"/>
    </row>
    <row r="36" spans="1:44" s="1" customFormat="1">
      <c r="A36" s="213" t="s">
        <v>1002</v>
      </c>
      <c r="B36" s="213">
        <f>O18</f>
        <v>62</v>
      </c>
      <c r="C36" s="213">
        <f>Y18</f>
        <v>0</v>
      </c>
      <c r="D36" s="220">
        <f>B36*C36/100</f>
        <v>0</v>
      </c>
      <c r="E36" s="213">
        <f>Z18</f>
        <v>0</v>
      </c>
      <c r="F36" s="220">
        <f>B36*E36/100</f>
        <v>0</v>
      </c>
      <c r="G36" s="213">
        <f>AA18</f>
        <v>0</v>
      </c>
      <c r="H36" s="220">
        <f>B36*G36/100</f>
        <v>0</v>
      </c>
      <c r="I36" s="214"/>
      <c r="J36" s="214"/>
      <c r="K36" s="214"/>
      <c r="L36" s="214"/>
      <c r="M36" s="215"/>
      <c r="N36" s="213">
        <f>AB18</f>
        <v>0</v>
      </c>
      <c r="O36" s="220">
        <f>B36*N36/100</f>
        <v>0</v>
      </c>
      <c r="P36" s="3"/>
      <c r="Q36" s="3"/>
      <c r="R36" s="3"/>
      <c r="S36" s="3"/>
      <c r="T36" s="3"/>
      <c r="U36" s="13" t="e">
        <f>U32-#REF!</f>
        <v>#REF!</v>
      </c>
      <c r="V36" s="3"/>
      <c r="W36" s="7"/>
      <c r="X36" s="7"/>
      <c r="Y36" s="7"/>
      <c r="Z36" s="7"/>
      <c r="AA36" s="7"/>
      <c r="AB36" s="7"/>
      <c r="AC36" s="7"/>
      <c r="AD36" s="7"/>
      <c r="AE36" s="7"/>
      <c r="AF36" s="7"/>
      <c r="AG36" s="7"/>
      <c r="AH36" s="7"/>
      <c r="AI36" s="7"/>
      <c r="AJ36" s="7"/>
      <c r="AK36" s="7"/>
      <c r="AL36" s="7"/>
      <c r="AM36" s="7"/>
      <c r="AN36" s="7"/>
      <c r="AO36" s="7"/>
      <c r="AP36" s="7"/>
      <c r="AQ36" s="3"/>
      <c r="AR36" s="3"/>
    </row>
    <row r="37" spans="1:44" s="1" customFormat="1" ht="23.25">
      <c r="A37" s="3"/>
      <c r="B37" s="3"/>
      <c r="C37" s="3"/>
      <c r="D37" s="3"/>
      <c r="E37" s="3"/>
      <c r="F37" s="3"/>
      <c r="G37" s="3"/>
      <c r="H37" s="3"/>
      <c r="M37" s="5"/>
      <c r="N37" s="3"/>
      <c r="O37" s="3"/>
      <c r="P37" s="3"/>
      <c r="Q37" s="3"/>
      <c r="R37" s="3"/>
      <c r="S37" s="3"/>
      <c r="T37" s="3"/>
      <c r="U37" s="3"/>
      <c r="V37" s="3"/>
      <c r="W37" s="7"/>
      <c r="X37" s="12">
        <v>90692582257</v>
      </c>
      <c r="Y37" s="202"/>
      <c r="Z37" s="202"/>
      <c r="AA37" s="202"/>
      <c r="AB37" s="202"/>
      <c r="AC37" s="202"/>
      <c r="AD37" s="202"/>
      <c r="AE37" s="202"/>
      <c r="AF37" s="202"/>
      <c r="AG37" s="202"/>
      <c r="AH37" s="202"/>
      <c r="AI37" s="202"/>
      <c r="AJ37" s="202"/>
      <c r="AK37" s="202"/>
      <c r="AL37" s="202"/>
      <c r="AM37" s="202"/>
      <c r="AN37" s="202"/>
      <c r="AO37" s="202"/>
      <c r="AP37" s="202"/>
      <c r="AQ37" s="13" t="e">
        <f>X37-#REF!</f>
        <v>#REF!</v>
      </c>
      <c r="AR37" s="3"/>
    </row>
    <row r="38" spans="1:44" s="1" customFormat="1" ht="15">
      <c r="A38" s="1109" t="s">
        <v>1003</v>
      </c>
      <c r="B38" s="1109"/>
      <c r="C38" s="1109"/>
      <c r="D38" s="1109"/>
      <c r="E38" s="1109"/>
      <c r="F38" s="1109"/>
      <c r="G38" s="1109"/>
      <c r="H38" s="1109"/>
      <c r="I38" s="1109"/>
      <c r="J38" s="1109"/>
      <c r="K38" s="1109"/>
      <c r="L38" s="1109"/>
      <c r="M38" s="1109"/>
      <c r="N38" s="1109"/>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3"/>
      <c r="AR38" s="3"/>
    </row>
    <row r="39" spans="1:44" s="1" customFormat="1" ht="45">
      <c r="A39" s="221" t="s">
        <v>674</v>
      </c>
      <c r="B39" s="221" t="s">
        <v>1004</v>
      </c>
      <c r="C39" s="221" t="s">
        <v>660</v>
      </c>
      <c r="D39" s="221" t="s">
        <v>1005</v>
      </c>
      <c r="E39" s="221" t="s">
        <v>660</v>
      </c>
      <c r="F39" s="221" t="s">
        <v>1006</v>
      </c>
      <c r="G39" s="221" t="s">
        <v>660</v>
      </c>
      <c r="H39" s="221" t="s">
        <v>1007</v>
      </c>
      <c r="I39" s="222"/>
      <c r="J39" s="222"/>
      <c r="K39" s="222"/>
      <c r="L39" s="222"/>
      <c r="M39" s="221" t="s">
        <v>1007</v>
      </c>
      <c r="N39" s="221" t="s">
        <v>660</v>
      </c>
      <c r="O39" s="3"/>
      <c r="P39" s="3"/>
      <c r="Q39" s="3"/>
      <c r="R39" s="3"/>
      <c r="S39" s="3"/>
      <c r="T39" s="3"/>
      <c r="U39" s="13" t="e">
        <f>#REF!-U32</f>
        <v>#REF!</v>
      </c>
      <c r="V39" s="3"/>
      <c r="W39" s="7"/>
      <c r="X39" s="7"/>
      <c r="Y39" s="7"/>
      <c r="Z39" s="7"/>
      <c r="AA39" s="7"/>
      <c r="AB39" s="7"/>
      <c r="AC39" s="7"/>
      <c r="AD39" s="7"/>
      <c r="AE39" s="7"/>
      <c r="AF39" s="7"/>
      <c r="AG39" s="7"/>
      <c r="AH39" s="7"/>
      <c r="AI39" s="7"/>
      <c r="AJ39" s="7"/>
      <c r="AK39" s="7"/>
      <c r="AL39" s="7"/>
      <c r="AM39" s="7"/>
      <c r="AN39" s="7"/>
      <c r="AO39" s="7"/>
      <c r="AP39" s="7"/>
      <c r="AQ39" s="3"/>
      <c r="AR39" s="3"/>
    </row>
    <row r="40" spans="1:44" s="1" customFormat="1">
      <c r="A40" s="217">
        <f>X18</f>
        <v>178665784.3152</v>
      </c>
      <c r="B40" s="217">
        <f>AC18</f>
        <v>33897654</v>
      </c>
      <c r="C40" s="220">
        <f>A40*B40/100</f>
        <v>60563509383552.773</v>
      </c>
      <c r="D40" s="217">
        <f>AD18</f>
        <v>33897654</v>
      </c>
      <c r="E40" s="220">
        <f>A40*D40/100</f>
        <v>60563509383552.773</v>
      </c>
      <c r="F40" s="217">
        <f>AE18</f>
        <v>0</v>
      </c>
      <c r="G40" s="220">
        <f>A40*F40/100</f>
        <v>0</v>
      </c>
      <c r="H40" s="217">
        <f>AF18</f>
        <v>0</v>
      </c>
      <c r="I40" s="214"/>
      <c r="J40" s="214"/>
      <c r="K40" s="214"/>
      <c r="L40" s="214"/>
      <c r="M40" s="228">
        <f>AE20</f>
        <v>0</v>
      </c>
      <c r="N40" s="220">
        <f>A40*H40/100</f>
        <v>0</v>
      </c>
      <c r="O40" s="3"/>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3"/>
      <c r="AR40" s="3"/>
    </row>
    <row r="41" spans="1:44" s="1" customFormat="1">
      <c r="A41" s="213"/>
      <c r="B41" s="213"/>
      <c r="C41" s="213"/>
      <c r="D41" s="213"/>
      <c r="E41" s="213"/>
      <c r="F41" s="213"/>
      <c r="G41" s="213"/>
      <c r="H41" s="213"/>
      <c r="I41" s="214"/>
      <c r="J41" s="214"/>
      <c r="K41" s="214"/>
      <c r="L41" s="214"/>
      <c r="M41" s="215"/>
      <c r="N41" s="213"/>
      <c r="O41" s="3"/>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3"/>
      <c r="AR41" s="3"/>
    </row>
    <row r="42" spans="1:44" s="1" customFormat="1">
      <c r="A42" s="3"/>
      <c r="B42" s="3"/>
      <c r="C42" s="3"/>
      <c r="D42" s="3"/>
      <c r="E42" s="3"/>
      <c r="F42" s="3"/>
      <c r="G42" s="3"/>
      <c r="H42" s="3"/>
      <c r="M42" s="5"/>
      <c r="N42" s="3"/>
      <c r="O42" s="3"/>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3"/>
      <c r="AR42" s="3"/>
    </row>
    <row r="43" spans="1:44" s="1" customFormat="1" ht="15">
      <c r="A43" s="1108" t="s">
        <v>1008</v>
      </c>
      <c r="B43" s="1108"/>
      <c r="C43" s="1108"/>
      <c r="D43" s="1108"/>
      <c r="E43" s="1108"/>
      <c r="F43" s="1108"/>
      <c r="G43" s="1108"/>
      <c r="H43" s="1108"/>
      <c r="I43" s="1108"/>
      <c r="J43" s="1108"/>
      <c r="K43" s="1108"/>
      <c r="L43" s="1108"/>
      <c r="M43" s="1108"/>
      <c r="N43" s="1108"/>
      <c r="O43" s="1108"/>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3"/>
      <c r="AR43" s="3"/>
    </row>
    <row r="44" spans="1:44" s="1" customFormat="1" ht="60">
      <c r="A44" s="223" t="s">
        <v>996</v>
      </c>
      <c r="B44" s="224" t="s">
        <v>997</v>
      </c>
      <c r="C44" s="224" t="s">
        <v>998</v>
      </c>
      <c r="D44" s="224" t="s">
        <v>660</v>
      </c>
      <c r="E44" s="224" t="s">
        <v>999</v>
      </c>
      <c r="F44" s="224" t="s">
        <v>660</v>
      </c>
      <c r="G44" s="224" t="s">
        <v>1000</v>
      </c>
      <c r="H44" s="224" t="s">
        <v>660</v>
      </c>
      <c r="I44" s="224"/>
      <c r="J44" s="225"/>
      <c r="K44" s="225"/>
      <c r="L44" s="225"/>
      <c r="M44" s="224" t="s">
        <v>660</v>
      </c>
      <c r="N44" s="224" t="s">
        <v>1001</v>
      </c>
      <c r="O44" s="224" t="s">
        <v>660</v>
      </c>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3"/>
      <c r="AR44" s="3"/>
    </row>
    <row r="45" spans="1:44" s="1" customFormat="1">
      <c r="A45" s="213" t="s">
        <v>1002</v>
      </c>
      <c r="B45" s="213">
        <f>O30</f>
        <v>76</v>
      </c>
      <c r="C45" s="213">
        <f>Y30</f>
        <v>0</v>
      </c>
      <c r="D45" s="220">
        <f>B45*C45/100</f>
        <v>0</v>
      </c>
      <c r="E45" s="213">
        <f>Z30</f>
        <v>0</v>
      </c>
      <c r="F45" s="220">
        <f>B45*E45/100</f>
        <v>0</v>
      </c>
      <c r="G45" s="213">
        <f>AA30</f>
        <v>0</v>
      </c>
      <c r="H45" s="220">
        <f>B45*G45/100</f>
        <v>0</v>
      </c>
      <c r="I45" s="214"/>
      <c r="J45" s="214"/>
      <c r="K45" s="214"/>
      <c r="L45" s="214"/>
      <c r="M45" s="215"/>
      <c r="N45" s="213">
        <f>AB30</f>
        <v>0</v>
      </c>
      <c r="O45" s="220">
        <f>B45*N45/100</f>
        <v>0</v>
      </c>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3"/>
      <c r="AR45" s="3"/>
    </row>
    <row r="46" spans="1:44" s="1" customFormat="1">
      <c r="A46" s="3"/>
      <c r="B46" s="3"/>
      <c r="C46" s="3"/>
      <c r="D46" s="3"/>
      <c r="E46" s="3"/>
      <c r="F46" s="3"/>
      <c r="G46" s="3"/>
      <c r="H46" s="3"/>
      <c r="M46" s="5"/>
      <c r="N46" s="3"/>
      <c r="O46" s="3"/>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3"/>
      <c r="AR46" s="3"/>
    </row>
    <row r="47" spans="1:44" s="1" customFormat="1" ht="15">
      <c r="A47" s="1109" t="s">
        <v>1009</v>
      </c>
      <c r="B47" s="1109"/>
      <c r="C47" s="1109"/>
      <c r="D47" s="1109"/>
      <c r="E47" s="1109"/>
      <c r="F47" s="1109"/>
      <c r="G47" s="1109"/>
      <c r="H47" s="1109"/>
      <c r="I47" s="1109"/>
      <c r="J47" s="1109"/>
      <c r="K47" s="1109"/>
      <c r="L47" s="1109"/>
      <c r="M47" s="1109"/>
      <c r="N47" s="1109"/>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3"/>
      <c r="AR47" s="3"/>
    </row>
    <row r="48" spans="1:44" s="1" customFormat="1" ht="45">
      <c r="A48" s="221" t="s">
        <v>674</v>
      </c>
      <c r="B48" s="221" t="s">
        <v>1004</v>
      </c>
      <c r="C48" s="221" t="s">
        <v>660</v>
      </c>
      <c r="D48" s="221" t="s">
        <v>1005</v>
      </c>
      <c r="E48" s="221" t="s">
        <v>660</v>
      </c>
      <c r="F48" s="221" t="s">
        <v>1006</v>
      </c>
      <c r="G48" s="221" t="s">
        <v>660</v>
      </c>
      <c r="H48" s="221" t="s">
        <v>1007</v>
      </c>
      <c r="I48" s="222"/>
      <c r="J48" s="222"/>
      <c r="K48" s="222"/>
      <c r="L48" s="222"/>
      <c r="M48" s="221" t="s">
        <v>1007</v>
      </c>
      <c r="N48" s="221" t="s">
        <v>660</v>
      </c>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3"/>
      <c r="AR48" s="3"/>
    </row>
    <row r="49" spans="1:44" s="1" customFormat="1" ht="15">
      <c r="A49" s="226">
        <f>X30</f>
        <v>144000000.00000021</v>
      </c>
      <c r="B49" s="226">
        <f>AC30</f>
        <v>33000000</v>
      </c>
      <c r="C49" s="261">
        <f>A49*B49/100</f>
        <v>47520000000000.07</v>
      </c>
      <c r="D49" s="217">
        <f>AD30</f>
        <v>33000000</v>
      </c>
      <c r="E49" s="262">
        <f>A49*D49/100</f>
        <v>47520000000000.07</v>
      </c>
      <c r="F49" s="217">
        <f>AE30</f>
        <v>0</v>
      </c>
      <c r="G49" s="262">
        <f>A49*F49/100</f>
        <v>0</v>
      </c>
      <c r="H49" s="217">
        <f>AF30</f>
        <v>0</v>
      </c>
      <c r="I49" s="227"/>
      <c r="J49" s="227"/>
      <c r="K49" s="227"/>
      <c r="L49" s="227"/>
      <c r="M49" s="229">
        <f>AE26</f>
        <v>0</v>
      </c>
      <c r="N49" s="262">
        <f>A49*H49/100</f>
        <v>0</v>
      </c>
      <c r="O49" s="3"/>
      <c r="P49" s="3"/>
      <c r="Q49" s="3"/>
      <c r="R49" s="3"/>
      <c r="S49" s="3"/>
      <c r="T49" s="3"/>
      <c r="U49" s="3"/>
      <c r="V49" s="3"/>
      <c r="W49" s="7"/>
      <c r="X49" s="7"/>
      <c r="Y49" s="7"/>
      <c r="Z49" s="7"/>
      <c r="AA49" s="7"/>
      <c r="AB49" s="7"/>
      <c r="AC49" s="7"/>
      <c r="AD49" s="7"/>
      <c r="AE49" s="7"/>
      <c r="AF49" s="7"/>
      <c r="AG49" s="7"/>
      <c r="AH49" s="7"/>
      <c r="AI49" s="7"/>
      <c r="AJ49" s="7"/>
      <c r="AK49" s="7"/>
      <c r="AL49" s="7"/>
      <c r="AM49" s="7"/>
      <c r="AN49" s="7"/>
      <c r="AO49" s="7"/>
      <c r="AP49" s="7"/>
      <c r="AQ49" s="3"/>
      <c r="AR49" s="3"/>
    </row>
    <row r="50" spans="1:44" s="1" customFormat="1">
      <c r="A50" s="213"/>
      <c r="B50" s="213"/>
      <c r="C50" s="213"/>
      <c r="D50" s="213"/>
      <c r="E50" s="213"/>
      <c r="F50" s="213"/>
      <c r="G50" s="213"/>
      <c r="H50" s="213"/>
      <c r="I50" s="214"/>
      <c r="J50" s="214"/>
      <c r="K50" s="214"/>
      <c r="L50" s="214"/>
      <c r="M50" s="215"/>
      <c r="N50" s="213"/>
      <c r="O50" s="3"/>
      <c r="P50" s="3"/>
      <c r="Q50" s="3"/>
      <c r="R50" s="3"/>
      <c r="S50" s="3"/>
      <c r="T50" s="3"/>
      <c r="U50" s="3"/>
      <c r="V50" s="3"/>
      <c r="W50" s="7"/>
      <c r="X50" s="7"/>
      <c r="Y50" s="7"/>
      <c r="Z50" s="7"/>
      <c r="AA50" s="7"/>
      <c r="AB50" s="7"/>
      <c r="AC50" s="7"/>
      <c r="AD50" s="7"/>
      <c r="AE50" s="7"/>
      <c r="AF50" s="7"/>
      <c r="AG50" s="7"/>
      <c r="AH50" s="7"/>
      <c r="AI50" s="7"/>
      <c r="AJ50" s="7"/>
      <c r="AK50" s="7"/>
      <c r="AL50" s="7"/>
      <c r="AM50" s="7"/>
      <c r="AN50" s="7"/>
      <c r="AO50" s="7"/>
      <c r="AP50" s="7"/>
      <c r="AQ50" s="3"/>
      <c r="AR50" s="3"/>
    </row>
    <row r="51" spans="1:44" s="1" customFormat="1">
      <c r="A51" s="3"/>
      <c r="B51" s="3"/>
      <c r="C51" s="3"/>
      <c r="D51" s="3"/>
      <c r="E51" s="3"/>
      <c r="F51" s="3"/>
      <c r="G51" s="3"/>
      <c r="H51" s="3"/>
      <c r="M51" s="5"/>
      <c r="N51" s="3"/>
      <c r="O51" s="3"/>
      <c r="P51" s="3"/>
      <c r="Q51" s="3"/>
      <c r="R51" s="3"/>
      <c r="S51" s="3"/>
      <c r="T51" s="3"/>
      <c r="U51" s="3"/>
      <c r="V51" s="3"/>
      <c r="W51" s="7"/>
      <c r="X51" s="7"/>
      <c r="Y51" s="7"/>
      <c r="Z51" s="7"/>
      <c r="AA51" s="7"/>
      <c r="AB51" s="7"/>
      <c r="AC51" s="7"/>
      <c r="AD51" s="7"/>
      <c r="AE51" s="7"/>
      <c r="AF51" s="7"/>
      <c r="AG51" s="7"/>
      <c r="AH51" s="7"/>
      <c r="AI51" s="7"/>
      <c r="AJ51" s="7"/>
      <c r="AK51" s="7"/>
      <c r="AL51" s="7"/>
      <c r="AM51" s="7"/>
      <c r="AN51" s="7"/>
      <c r="AO51" s="7"/>
      <c r="AP51" s="7"/>
      <c r="AQ51" s="3"/>
      <c r="AR51" s="3"/>
    </row>
    <row r="52" spans="1:44" s="1" customFormat="1">
      <c r="A52" s="3"/>
      <c r="B52" s="3"/>
      <c r="C52" s="3"/>
      <c r="D52" s="3"/>
      <c r="E52" s="3"/>
      <c r="F52" s="3"/>
      <c r="G52" s="3"/>
      <c r="H52" s="3"/>
      <c r="I52" s="2"/>
      <c r="J52" s="2"/>
      <c r="K52" s="2"/>
      <c r="L52" s="2"/>
      <c r="M52" s="5"/>
      <c r="N52" s="3"/>
      <c r="O52" s="3"/>
      <c r="P52" s="3"/>
      <c r="Q52" s="3"/>
      <c r="R52" s="3"/>
      <c r="S52" s="3"/>
      <c r="T52" s="3"/>
      <c r="U52" s="3"/>
      <c r="V52" s="3"/>
      <c r="W52" s="7"/>
      <c r="X52" s="7"/>
      <c r="Y52" s="7"/>
      <c r="Z52" s="7"/>
      <c r="AA52" s="7"/>
      <c r="AB52" s="7"/>
      <c r="AC52" s="7"/>
      <c r="AD52" s="7"/>
      <c r="AE52" s="7"/>
      <c r="AF52" s="7"/>
      <c r="AG52" s="7"/>
      <c r="AH52" s="7"/>
      <c r="AI52" s="7"/>
      <c r="AJ52" s="7"/>
      <c r="AK52" s="7"/>
      <c r="AL52" s="7"/>
      <c r="AM52" s="7"/>
      <c r="AN52" s="7"/>
      <c r="AO52" s="7"/>
      <c r="AP52" s="7"/>
      <c r="AQ52" s="3"/>
      <c r="AR52" s="3"/>
    </row>
    <row r="53" spans="1:44" s="1" customFormat="1" ht="15">
      <c r="A53" s="1108" t="s">
        <v>1188</v>
      </c>
      <c r="B53" s="1108"/>
      <c r="C53" s="1108"/>
      <c r="D53" s="1108"/>
      <c r="E53" s="1108"/>
      <c r="F53" s="1108"/>
      <c r="G53" s="1108"/>
      <c r="H53" s="1108"/>
      <c r="I53" s="1108"/>
      <c r="J53" s="1108"/>
      <c r="K53" s="1108"/>
      <c r="L53" s="1108"/>
      <c r="M53" s="1108"/>
      <c r="N53" s="1108"/>
      <c r="O53" s="1108"/>
      <c r="P53" s="3"/>
      <c r="Q53" s="3"/>
      <c r="R53" s="3"/>
      <c r="S53" s="3"/>
      <c r="T53" s="3"/>
      <c r="U53" s="3"/>
      <c r="V53" s="3"/>
      <c r="W53" s="7"/>
      <c r="X53" s="7"/>
      <c r="Y53" s="7"/>
      <c r="Z53" s="7"/>
      <c r="AA53" s="7"/>
      <c r="AB53" s="7"/>
      <c r="AC53" s="7"/>
      <c r="AD53" s="7"/>
      <c r="AE53" s="7"/>
      <c r="AF53" s="7"/>
      <c r="AG53" s="7"/>
      <c r="AH53" s="7"/>
      <c r="AI53" s="7"/>
      <c r="AJ53" s="7"/>
      <c r="AK53" s="7"/>
      <c r="AL53" s="7"/>
      <c r="AM53" s="7"/>
      <c r="AN53" s="7"/>
      <c r="AO53" s="7"/>
      <c r="AP53" s="7"/>
      <c r="AQ53" s="3"/>
      <c r="AR53" s="3"/>
    </row>
    <row r="54" spans="1:44" ht="60">
      <c r="A54" s="223" t="s">
        <v>996</v>
      </c>
      <c r="B54" s="224" t="s">
        <v>997</v>
      </c>
      <c r="C54" s="224" t="s">
        <v>998</v>
      </c>
      <c r="D54" s="224" t="s">
        <v>660</v>
      </c>
      <c r="E54" s="224" t="s">
        <v>999</v>
      </c>
      <c r="F54" s="224" t="s">
        <v>660</v>
      </c>
      <c r="G54" s="224" t="s">
        <v>1000</v>
      </c>
      <c r="H54" s="224" t="s">
        <v>660</v>
      </c>
      <c r="I54" s="224"/>
      <c r="J54" s="225"/>
      <c r="K54" s="225"/>
      <c r="L54" s="225"/>
      <c r="M54" s="225"/>
      <c r="N54" s="224" t="s">
        <v>1001</v>
      </c>
      <c r="O54" s="224" t="s">
        <v>660</v>
      </c>
    </row>
    <row r="55" spans="1:44">
      <c r="A55" s="213" t="s">
        <v>1002</v>
      </c>
      <c r="B55" s="213">
        <f>B45+B36</f>
        <v>138</v>
      </c>
      <c r="C55" s="213">
        <f>C45+C36</f>
        <v>0</v>
      </c>
      <c r="D55" s="220">
        <f>B55*C55/100</f>
        <v>0</v>
      </c>
      <c r="E55" s="213">
        <f>E45+E36</f>
        <v>0</v>
      </c>
      <c r="F55" s="220">
        <f>B55*E55/100</f>
        <v>0</v>
      </c>
      <c r="G55" s="213">
        <f>G45+G36</f>
        <v>0</v>
      </c>
      <c r="H55" s="220">
        <f>B55*G55/100</f>
        <v>0</v>
      </c>
      <c r="I55" s="214"/>
      <c r="J55" s="214"/>
      <c r="K55" s="214"/>
      <c r="L55" s="214"/>
      <c r="M55" s="215"/>
      <c r="N55" s="213">
        <f>N45+N36</f>
        <v>0</v>
      </c>
      <c r="O55" s="220">
        <f>B55*N55/100</f>
        <v>0</v>
      </c>
    </row>
    <row r="56" spans="1:44">
      <c r="I56" s="1"/>
      <c r="J56" s="1"/>
      <c r="K56" s="1"/>
      <c r="L56" s="1"/>
      <c r="M56" s="5"/>
      <c r="N56" s="3"/>
    </row>
    <row r="57" spans="1:44" ht="15">
      <c r="A57" s="1109" t="s">
        <v>1189</v>
      </c>
      <c r="B57" s="1109"/>
      <c r="C57" s="1109"/>
      <c r="D57" s="1109"/>
      <c r="E57" s="1109"/>
      <c r="F57" s="1109"/>
      <c r="G57" s="1109"/>
      <c r="H57" s="1109"/>
      <c r="I57" s="1109"/>
      <c r="J57" s="1109"/>
      <c r="K57" s="1109"/>
      <c r="L57" s="1109"/>
      <c r="M57" s="1109"/>
      <c r="N57" s="1109"/>
    </row>
    <row r="58" spans="1:44" ht="45">
      <c r="A58" s="221" t="s">
        <v>674</v>
      </c>
      <c r="B58" s="221" t="s">
        <v>1004</v>
      </c>
      <c r="C58" s="221" t="s">
        <v>660</v>
      </c>
      <c r="D58" s="221" t="s">
        <v>1005</v>
      </c>
      <c r="E58" s="221" t="s">
        <v>660</v>
      </c>
      <c r="F58" s="221" t="s">
        <v>1006</v>
      </c>
      <c r="G58" s="221" t="s">
        <v>660</v>
      </c>
      <c r="H58" s="221" t="s">
        <v>1007</v>
      </c>
      <c r="I58" s="222"/>
      <c r="J58" s="222"/>
      <c r="K58" s="222"/>
      <c r="L58" s="222"/>
      <c r="M58" s="221" t="s">
        <v>1007</v>
      </c>
      <c r="N58" s="221" t="s">
        <v>660</v>
      </c>
    </row>
    <row r="59" spans="1:44">
      <c r="A59" s="217">
        <f>A49+A40</f>
        <v>322665784.31520021</v>
      </c>
      <c r="B59" s="217">
        <f>B49+B40</f>
        <v>66897654</v>
      </c>
      <c r="C59" s="218">
        <f>A59*B59/100</f>
        <v>215855839967568.91</v>
      </c>
      <c r="D59" s="217">
        <f>D49+D40</f>
        <v>66897654</v>
      </c>
      <c r="E59" s="220">
        <f>A59*D59/100</f>
        <v>215855839967568.91</v>
      </c>
      <c r="F59" s="217">
        <f>F49+F40</f>
        <v>0</v>
      </c>
      <c r="G59" s="220">
        <f>A59*F59/100</f>
        <v>0</v>
      </c>
      <c r="H59" s="217">
        <f>H49+H40</f>
        <v>0</v>
      </c>
      <c r="I59" s="214"/>
      <c r="J59" s="214"/>
      <c r="K59" s="214"/>
      <c r="L59" s="214"/>
      <c r="M59" s="228" t="e">
        <f>#REF!+M49+M40</f>
        <v>#REF!</v>
      </c>
      <c r="N59" s="220">
        <f>A59*H59/100</f>
        <v>0</v>
      </c>
    </row>
    <row r="60" spans="1:44">
      <c r="A60" s="213"/>
      <c r="B60" s="213"/>
      <c r="C60" s="213"/>
      <c r="D60" s="213"/>
      <c r="E60" s="213"/>
      <c r="F60" s="213"/>
      <c r="G60" s="213"/>
      <c r="H60" s="213"/>
      <c r="I60" s="214"/>
      <c r="J60" s="214"/>
      <c r="K60" s="214"/>
      <c r="L60" s="214"/>
      <c r="M60" s="215"/>
      <c r="N60" s="213"/>
    </row>
    <row r="61" spans="1:44">
      <c r="I61" s="2"/>
      <c r="M61" s="5"/>
      <c r="N61" s="3"/>
    </row>
    <row r="62" spans="1:44">
      <c r="A62" s="5"/>
      <c r="J62" s="7"/>
      <c r="K62" s="7"/>
      <c r="L62" s="7"/>
      <c r="M62" s="7"/>
      <c r="N62" s="7"/>
      <c r="O62" s="7"/>
    </row>
    <row r="63" spans="1:44">
      <c r="A63" s="5"/>
      <c r="J63" s="7"/>
      <c r="K63" s="7"/>
      <c r="L63" s="7"/>
      <c r="M63" s="7"/>
      <c r="N63" s="7"/>
      <c r="O63" s="7"/>
    </row>
    <row r="64" spans="1:44">
      <c r="A64" s="5"/>
      <c r="J64" s="7"/>
      <c r="K64" s="7"/>
      <c r="L64" s="7"/>
      <c r="M64" s="7"/>
      <c r="N64" s="7"/>
      <c r="O64" s="7"/>
    </row>
  </sheetData>
  <mergeCells count="92">
    <mergeCell ref="A53:O53"/>
    <mergeCell ref="A57:N57"/>
    <mergeCell ref="A4:AR4"/>
    <mergeCell ref="A18:N18"/>
    <mergeCell ref="A30:N30"/>
    <mergeCell ref="A34:O34"/>
    <mergeCell ref="A38:N38"/>
    <mergeCell ref="A43:O43"/>
    <mergeCell ref="A47:N47"/>
    <mergeCell ref="U25:U27"/>
    <mergeCell ref="V25:V27"/>
    <mergeCell ref="W25:W27"/>
    <mergeCell ref="X25:X27"/>
    <mergeCell ref="G22:G29"/>
    <mergeCell ref="H22:H29"/>
    <mergeCell ref="I22:I29"/>
    <mergeCell ref="D14:D17"/>
    <mergeCell ref="E14:E17"/>
    <mergeCell ref="F14:F17"/>
    <mergeCell ref="L14:L15"/>
    <mergeCell ref="AS19:AS29"/>
    <mergeCell ref="M20:M21"/>
    <mergeCell ref="U20:U21"/>
    <mergeCell ref="V20:V21"/>
    <mergeCell ref="W20:W21"/>
    <mergeCell ref="U22:U23"/>
    <mergeCell ref="V22:V23"/>
    <mergeCell ref="W22:W23"/>
    <mergeCell ref="X22:X23"/>
    <mergeCell ref="M22:M23"/>
    <mergeCell ref="M25:M27"/>
    <mergeCell ref="J22:J29"/>
    <mergeCell ref="A19:A29"/>
    <mergeCell ref="B19:B29"/>
    <mergeCell ref="G19:G21"/>
    <mergeCell ref="H19:H21"/>
    <mergeCell ref="I19:I21"/>
    <mergeCell ref="C21:C29"/>
    <mergeCell ref="D21:D29"/>
    <mergeCell ref="E21:E29"/>
    <mergeCell ref="F21:F29"/>
    <mergeCell ref="K22:K29"/>
    <mergeCell ref="K19:K21"/>
    <mergeCell ref="AS8:AS17"/>
    <mergeCell ref="I11:I12"/>
    <mergeCell ref="J11:J12"/>
    <mergeCell ref="K11:K12"/>
    <mergeCell ref="K16:K17"/>
    <mergeCell ref="L16:L17"/>
    <mergeCell ref="M16:M17"/>
    <mergeCell ref="K8:K9"/>
    <mergeCell ref="M14:M15"/>
    <mergeCell ref="I16:I17"/>
    <mergeCell ref="J16:J17"/>
    <mergeCell ref="J19:J21"/>
    <mergeCell ref="AQ6:AQ7"/>
    <mergeCell ref="A8:A17"/>
    <mergeCell ref="B8:B17"/>
    <mergeCell ref="C8:C13"/>
    <mergeCell ref="D8:D13"/>
    <mergeCell ref="E8:E13"/>
    <mergeCell ref="F8:F13"/>
    <mergeCell ref="G8:G15"/>
    <mergeCell ref="H8:H10"/>
    <mergeCell ref="I8:I10"/>
    <mergeCell ref="J8:J10"/>
    <mergeCell ref="L8:L13"/>
    <mergeCell ref="M8:M13"/>
    <mergeCell ref="G16:G17"/>
    <mergeCell ref="H16:H17"/>
    <mergeCell ref="C14:C17"/>
    <mergeCell ref="R6:R7"/>
    <mergeCell ref="S6:S7"/>
    <mergeCell ref="T6:T7"/>
    <mergeCell ref="U6:X6"/>
    <mergeCell ref="Y6:AE6"/>
    <mergeCell ref="A1:AR1"/>
    <mergeCell ref="AT1:AX1"/>
    <mergeCell ref="A2:AR2"/>
    <mergeCell ref="B3:AR3"/>
    <mergeCell ref="H11:H12"/>
    <mergeCell ref="A5:AR5"/>
    <mergeCell ref="A6:B6"/>
    <mergeCell ref="C6:F6"/>
    <mergeCell ref="H6:K6"/>
    <mergeCell ref="L6:L7"/>
    <mergeCell ref="M6:M7"/>
    <mergeCell ref="N6:N7"/>
    <mergeCell ref="O6:O7"/>
    <mergeCell ref="P6:P7"/>
    <mergeCell ref="Q6:Q7"/>
    <mergeCell ref="AR6:AR7"/>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FCEA-D794-4C74-ABA0-BBF938EFE1CC}">
  <dimension ref="A1:AZ49"/>
  <sheetViews>
    <sheetView topLeftCell="A10" zoomScale="60" zoomScaleNormal="60" workbookViewId="0">
      <selection activeCell="A44" sqref="A44"/>
    </sheetView>
  </sheetViews>
  <sheetFormatPr defaultColWidth="11.375" defaultRowHeight="14.25"/>
  <cols>
    <col min="1" max="1" width="26.375" style="3" customWidth="1"/>
    <col min="2" max="2" width="28.375" style="3" customWidth="1"/>
    <col min="3" max="3" width="24" style="3" customWidth="1"/>
    <col min="4" max="4" width="30.375" style="3" customWidth="1"/>
    <col min="5" max="5" width="24.375" style="3" customWidth="1"/>
    <col min="6" max="6" width="18.375" style="3" customWidth="1"/>
    <col min="7" max="7" width="20.25" style="3" customWidth="1"/>
    <col min="8" max="8" width="37.375" style="3" customWidth="1"/>
    <col min="9" max="9" width="15" style="3" hidden="1" customWidth="1"/>
    <col min="10" max="11" width="12.75" style="2" hidden="1" customWidth="1"/>
    <col min="12" max="12" width="38.375" style="2" hidden="1" customWidth="1"/>
    <col min="13" max="13" width="57.375" style="2" hidden="1" customWidth="1"/>
    <col min="14" max="14" width="38.125" style="5" customWidth="1"/>
    <col min="15" max="16" width="15" style="3" customWidth="1"/>
    <col min="17" max="17" width="16.25" style="3" customWidth="1"/>
    <col min="18" max="18" width="16.75" style="3" customWidth="1"/>
    <col min="19" max="19" width="16.875" style="3" customWidth="1"/>
    <col min="20" max="20" width="18" style="3" customWidth="1"/>
    <col min="21" max="21" width="20.125" style="3" customWidth="1"/>
    <col min="22" max="22" width="21.375" style="3" customWidth="1"/>
    <col min="23" max="23" width="27.75" style="7" customWidth="1"/>
    <col min="24" max="24" width="25.375" style="7" bestFit="1" customWidth="1"/>
    <col min="25" max="34" width="25.375" style="7" customWidth="1"/>
    <col min="35" max="37" width="34.25" style="7" customWidth="1"/>
    <col min="38"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2" s="1" customFormat="1" ht="30.75" customHeight="1" thickTop="1" thickBot="1">
      <c r="A1" s="1094" t="s">
        <v>969</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9"/>
      <c r="AT1" s="1095" t="s">
        <v>1</v>
      </c>
      <c r="AU1" s="1095"/>
      <c r="AV1" s="1095"/>
      <c r="AW1" s="1095"/>
      <c r="AX1" s="1096"/>
    </row>
    <row r="2" spans="1:52" s="1" customFormat="1" ht="27.95" customHeight="1" thickTop="1" thickBot="1">
      <c r="A2" s="836" t="s">
        <v>970</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19"/>
      <c r="AT2" s="206" t="s">
        <v>3</v>
      </c>
      <c r="AU2" s="18" t="s">
        <v>4</v>
      </c>
      <c r="AV2" s="16" t="s">
        <v>5</v>
      </c>
      <c r="AW2" s="16" t="s">
        <v>6</v>
      </c>
      <c r="AX2" s="16" t="s">
        <v>7</v>
      </c>
    </row>
    <row r="3" spans="1:52" s="1" customFormat="1" ht="25.5" customHeight="1" thickTop="1" thickBot="1">
      <c r="A3" s="209"/>
      <c r="B3" s="1147" t="s">
        <v>727</v>
      </c>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c r="AI3" s="1148"/>
      <c r="AJ3" s="1148"/>
      <c r="AK3" s="1148"/>
      <c r="AL3" s="1148"/>
      <c r="AM3" s="1148"/>
      <c r="AN3" s="1148"/>
      <c r="AO3" s="1148"/>
      <c r="AP3" s="1148"/>
      <c r="AQ3" s="1148"/>
      <c r="AR3" s="1149"/>
      <c r="AS3" s="19"/>
      <c r="AT3" s="1280"/>
      <c r="AU3" s="1258"/>
      <c r="AV3" s="1259"/>
      <c r="AW3" s="1260"/>
      <c r="AX3" s="17"/>
    </row>
    <row r="4" spans="1:52" s="1" customFormat="1" ht="27.95" customHeight="1" thickTop="1" thickBot="1">
      <c r="A4" s="1150" t="s">
        <v>1190</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2"/>
      <c r="AS4" s="19"/>
      <c r="AT4" s="1280"/>
      <c r="AU4" s="1258"/>
      <c r="AV4" s="1259"/>
      <c r="AW4" s="1260"/>
      <c r="AX4" s="17"/>
    </row>
    <row r="5" spans="1:52" s="1" customFormat="1" ht="27.95" customHeight="1" thickTop="1" thickBot="1">
      <c r="A5" s="853"/>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132"/>
      <c r="AT5" s="1280"/>
      <c r="AU5" s="1258"/>
      <c r="AV5" s="1259"/>
      <c r="AW5" s="1260"/>
      <c r="AX5" s="17"/>
    </row>
    <row r="6" spans="1:52" ht="27.95" customHeight="1" thickBot="1">
      <c r="A6" s="856"/>
      <c r="B6" s="857"/>
      <c r="C6" s="858" t="s">
        <v>10</v>
      </c>
      <c r="D6" s="856"/>
      <c r="E6" s="856"/>
      <c r="F6" s="857"/>
      <c r="G6" s="21"/>
      <c r="H6" s="823" t="s">
        <v>11</v>
      </c>
      <c r="I6" s="823"/>
      <c r="J6" s="823"/>
      <c r="K6" s="823"/>
      <c r="L6" s="855" t="s">
        <v>12</v>
      </c>
      <c r="M6" s="855" t="s">
        <v>13</v>
      </c>
      <c r="N6" s="1145" t="s">
        <v>14</v>
      </c>
      <c r="O6" s="826" t="s">
        <v>971</v>
      </c>
      <c r="P6" s="826" t="s">
        <v>15</v>
      </c>
      <c r="Q6" s="826" t="s">
        <v>17</v>
      </c>
      <c r="R6" s="826" t="s">
        <v>18</v>
      </c>
      <c r="S6" s="826" t="s">
        <v>19</v>
      </c>
      <c r="T6" s="826" t="s">
        <v>20</v>
      </c>
      <c r="U6" s="825" t="s">
        <v>21</v>
      </c>
      <c r="V6" s="825"/>
      <c r="W6" s="825"/>
      <c r="X6" s="825"/>
      <c r="Y6" s="863" t="s">
        <v>22</v>
      </c>
      <c r="Z6" s="864"/>
      <c r="AA6" s="864"/>
      <c r="AB6" s="864"/>
      <c r="AC6" s="864"/>
      <c r="AD6" s="864"/>
      <c r="AE6" s="865"/>
      <c r="AF6" s="203"/>
      <c r="AG6" s="203"/>
      <c r="AH6" s="203"/>
      <c r="AI6" s="203"/>
      <c r="AJ6" s="203"/>
      <c r="AK6" s="203"/>
      <c r="AL6" s="203"/>
      <c r="AM6" s="203"/>
      <c r="AN6" s="203"/>
      <c r="AO6" s="203"/>
      <c r="AP6" s="203"/>
      <c r="AQ6" s="826" t="s">
        <v>23</v>
      </c>
      <c r="AR6" s="820" t="s">
        <v>24</v>
      </c>
      <c r="AS6" s="133"/>
      <c r="AT6" s="18" t="s">
        <v>25</v>
      </c>
      <c r="AU6" s="15" t="s">
        <v>26</v>
      </c>
      <c r="AV6" s="16" t="s">
        <v>27</v>
      </c>
      <c r="AW6" s="16" t="s">
        <v>28</v>
      </c>
      <c r="AX6" s="16" t="s">
        <v>29</v>
      </c>
    </row>
    <row r="7" spans="1:52" ht="68.25" customHeight="1" thickTop="1" thickBot="1">
      <c r="A7" s="20" t="s">
        <v>32</v>
      </c>
      <c r="B7" s="20" t="s">
        <v>33</v>
      </c>
      <c r="C7" s="20" t="s">
        <v>34</v>
      </c>
      <c r="D7" s="20" t="s">
        <v>35</v>
      </c>
      <c r="E7" s="20" t="s">
        <v>36</v>
      </c>
      <c r="F7" s="20" t="s">
        <v>972</v>
      </c>
      <c r="G7" s="20" t="s">
        <v>38</v>
      </c>
      <c r="H7" s="22" t="s">
        <v>39</v>
      </c>
      <c r="I7" s="20" t="s">
        <v>35</v>
      </c>
      <c r="J7" s="20" t="s">
        <v>36</v>
      </c>
      <c r="K7" s="20" t="s">
        <v>972</v>
      </c>
      <c r="L7" s="855"/>
      <c r="M7" s="855"/>
      <c r="N7" s="1146"/>
      <c r="O7" s="827"/>
      <c r="P7" s="827"/>
      <c r="Q7" s="827"/>
      <c r="R7" s="827"/>
      <c r="S7" s="827"/>
      <c r="T7" s="827"/>
      <c r="U7" s="20" t="s">
        <v>41</v>
      </c>
      <c r="V7" s="20" t="s">
        <v>42</v>
      </c>
      <c r="W7" s="4" t="s">
        <v>43</v>
      </c>
      <c r="X7" s="4" t="s">
        <v>44</v>
      </c>
      <c r="Y7" s="4" t="s">
        <v>45</v>
      </c>
      <c r="Z7" s="4" t="s">
        <v>46</v>
      </c>
      <c r="AA7" s="4" t="s">
        <v>47</v>
      </c>
      <c r="AB7" s="4" t="s">
        <v>48</v>
      </c>
      <c r="AC7" s="4" t="s">
        <v>49</v>
      </c>
      <c r="AD7" s="4" t="s">
        <v>50</v>
      </c>
      <c r="AE7" s="4" t="s">
        <v>51</v>
      </c>
      <c r="AF7" s="205" t="s">
        <v>52</v>
      </c>
      <c r="AG7" s="205" t="s">
        <v>53</v>
      </c>
      <c r="AH7" s="205" t="s">
        <v>54</v>
      </c>
      <c r="AI7" s="205" t="s">
        <v>55</v>
      </c>
      <c r="AJ7" s="205" t="s">
        <v>56</v>
      </c>
      <c r="AK7" s="205" t="s">
        <v>58</v>
      </c>
      <c r="AL7" s="205" t="s">
        <v>59</v>
      </c>
      <c r="AM7" s="205" t="s">
        <v>60</v>
      </c>
      <c r="AN7" s="205" t="s">
        <v>61</v>
      </c>
      <c r="AO7" s="205" t="s">
        <v>62</v>
      </c>
      <c r="AP7" s="205" t="s">
        <v>63</v>
      </c>
      <c r="AQ7" s="827"/>
      <c r="AR7" s="821" t="s">
        <v>24</v>
      </c>
      <c r="AS7" s="133"/>
    </row>
    <row r="8" spans="1:52" s="1" customFormat="1" ht="97.5" customHeight="1" thickBot="1">
      <c r="A8" s="794" t="s">
        <v>424</v>
      </c>
      <c r="B8" s="794" t="s">
        <v>425</v>
      </c>
      <c r="C8" s="95" t="s">
        <v>426</v>
      </c>
      <c r="D8" s="95" t="s">
        <v>72</v>
      </c>
      <c r="E8" s="95">
        <v>3</v>
      </c>
      <c r="F8" s="95">
        <v>6</v>
      </c>
      <c r="G8" s="794" t="s">
        <v>427</v>
      </c>
      <c r="H8" s="794" t="s">
        <v>428</v>
      </c>
      <c r="I8" s="794" t="s">
        <v>340</v>
      </c>
      <c r="J8" s="918">
        <v>2</v>
      </c>
      <c r="K8" s="918">
        <v>4</v>
      </c>
      <c r="L8" s="96"/>
      <c r="M8" s="794" t="s">
        <v>429</v>
      </c>
      <c r="N8" s="794" t="s">
        <v>430</v>
      </c>
      <c r="O8" s="95">
        <v>6</v>
      </c>
      <c r="P8" s="95" t="s">
        <v>340</v>
      </c>
      <c r="Q8" s="95">
        <v>1</v>
      </c>
      <c r="R8" s="95">
        <v>1</v>
      </c>
      <c r="S8" s="95">
        <v>2</v>
      </c>
      <c r="T8" s="95">
        <v>2</v>
      </c>
      <c r="U8" s="95" t="s">
        <v>1191</v>
      </c>
      <c r="V8" s="95"/>
      <c r="W8" s="97">
        <v>15000000</v>
      </c>
      <c r="X8" s="97">
        <f t="shared" ref="X8:X12" si="0">W8</f>
        <v>15000000</v>
      </c>
      <c r="Y8" s="266"/>
      <c r="Z8" s="266"/>
      <c r="AA8" s="266"/>
      <c r="AB8" s="266"/>
      <c r="AC8" s="103">
        <v>0</v>
      </c>
      <c r="AD8" s="103"/>
      <c r="AE8" s="103"/>
      <c r="AF8" s="204"/>
      <c r="AG8" s="204"/>
      <c r="AH8" s="204"/>
      <c r="AI8" s="204"/>
      <c r="AJ8" s="204"/>
      <c r="AK8" s="204"/>
      <c r="AL8" s="204"/>
      <c r="AM8" s="204"/>
      <c r="AN8" s="204"/>
      <c r="AO8" s="204"/>
      <c r="AP8" s="204"/>
      <c r="AQ8" s="95" t="s">
        <v>244</v>
      </c>
      <c r="AR8" s="95" t="s">
        <v>244</v>
      </c>
      <c r="AS8" s="788" t="s">
        <v>432</v>
      </c>
    </row>
    <row r="9" spans="1:52" s="1" customFormat="1" ht="108" customHeight="1" thickBot="1">
      <c r="A9" s="796"/>
      <c r="B9" s="796"/>
      <c r="C9" s="98" t="s">
        <v>434</v>
      </c>
      <c r="D9" s="99" t="s">
        <v>72</v>
      </c>
      <c r="E9" s="99" t="s">
        <v>69</v>
      </c>
      <c r="F9" s="99">
        <v>4</v>
      </c>
      <c r="G9" s="796"/>
      <c r="H9" s="796"/>
      <c r="I9" s="796"/>
      <c r="J9" s="920"/>
      <c r="K9" s="920"/>
      <c r="L9" s="100"/>
      <c r="M9" s="796"/>
      <c r="N9" s="796"/>
      <c r="O9" s="99">
        <v>4</v>
      </c>
      <c r="P9" s="95" t="s">
        <v>340</v>
      </c>
      <c r="Q9" s="99">
        <v>1</v>
      </c>
      <c r="R9" s="99">
        <v>1</v>
      </c>
      <c r="S9" s="99">
        <v>1</v>
      </c>
      <c r="T9" s="99">
        <v>1</v>
      </c>
      <c r="U9" s="99" t="s">
        <v>1191</v>
      </c>
      <c r="V9" s="99"/>
      <c r="W9" s="103">
        <v>15000000</v>
      </c>
      <c r="X9" s="97">
        <f t="shared" si="0"/>
        <v>15000000</v>
      </c>
      <c r="Y9" s="266">
        <v>0</v>
      </c>
      <c r="Z9" s="266"/>
      <c r="AA9" s="266"/>
      <c r="AB9" s="266"/>
      <c r="AC9" s="103">
        <v>0</v>
      </c>
      <c r="AD9" s="103"/>
      <c r="AE9" s="103"/>
      <c r="AF9" s="204"/>
      <c r="AG9" s="204"/>
      <c r="AH9" s="204"/>
      <c r="AI9" s="204"/>
      <c r="AJ9" s="204"/>
      <c r="AK9" s="204"/>
      <c r="AL9" s="204"/>
      <c r="AM9" s="204"/>
      <c r="AN9" s="204"/>
      <c r="AO9" s="204"/>
      <c r="AP9" s="204"/>
      <c r="AQ9" s="95" t="s">
        <v>244</v>
      </c>
      <c r="AR9" s="95" t="s">
        <v>244</v>
      </c>
      <c r="AS9" s="789"/>
      <c r="AU9" s="1">
        <v>1020100</v>
      </c>
      <c r="AW9" s="1">
        <v>89838668.807999998</v>
      </c>
      <c r="AX9" s="1">
        <f>+AW9/2</f>
        <v>44919334.403999999</v>
      </c>
      <c r="AZ9" s="1">
        <v>44919334.403999999</v>
      </c>
    </row>
    <row r="10" spans="1:52" s="1" customFormat="1" ht="108" customHeight="1" thickBot="1">
      <c r="A10" s="1196" t="s">
        <v>1192</v>
      </c>
      <c r="B10" s="1197"/>
      <c r="C10" s="1197"/>
      <c r="D10" s="1197"/>
      <c r="E10" s="1197"/>
      <c r="F10" s="1197"/>
      <c r="G10" s="1197"/>
      <c r="H10" s="1197"/>
      <c r="I10" s="1197"/>
      <c r="J10" s="1197"/>
      <c r="K10" s="1197"/>
      <c r="L10" s="1197"/>
      <c r="M10" s="1197"/>
      <c r="N10" s="1198"/>
      <c r="O10" s="198">
        <f>SUM(O8:O9)</f>
        <v>10</v>
      </c>
      <c r="P10" s="198" t="s">
        <v>142</v>
      </c>
      <c r="Q10" s="198">
        <f t="shared" ref="Q10:T10" si="1">SUM(Q8:Q9)</f>
        <v>2</v>
      </c>
      <c r="R10" s="198">
        <f t="shared" si="1"/>
        <v>2</v>
      </c>
      <c r="S10" s="198">
        <f t="shared" si="1"/>
        <v>3</v>
      </c>
      <c r="T10" s="198">
        <f t="shared" si="1"/>
        <v>3</v>
      </c>
      <c r="U10" s="198"/>
      <c r="V10" s="198"/>
      <c r="W10" s="201">
        <f>SUM(W8:W9)</f>
        <v>30000000</v>
      </c>
      <c r="X10" s="201">
        <f>SUM(X8:X9)</f>
        <v>30000000</v>
      </c>
      <c r="Y10" s="198">
        <f>SUM(Y8:Y9)</f>
        <v>0</v>
      </c>
      <c r="Z10" s="198">
        <f t="shared" ref="Z10:AB10" si="2">SUM(Z8:Z9)</f>
        <v>0</v>
      </c>
      <c r="AA10" s="198">
        <f t="shared" si="2"/>
        <v>0</v>
      </c>
      <c r="AB10" s="198">
        <f t="shared" si="2"/>
        <v>0</v>
      </c>
      <c r="AC10" s="201">
        <f>SUM(AC8:AC9)</f>
        <v>0</v>
      </c>
      <c r="AD10" s="201">
        <f t="shared" ref="AD10:AH10" si="3">SUM(AD8:AD9)</f>
        <v>0</v>
      </c>
      <c r="AE10" s="201">
        <f t="shared" si="3"/>
        <v>0</v>
      </c>
      <c r="AF10" s="201">
        <f t="shared" si="3"/>
        <v>0</v>
      </c>
      <c r="AG10" s="201">
        <f t="shared" si="3"/>
        <v>0</v>
      </c>
      <c r="AH10" s="201">
        <f t="shared" si="3"/>
        <v>0</v>
      </c>
      <c r="AI10" s="247"/>
      <c r="AJ10" s="247"/>
      <c r="AK10" s="247"/>
      <c r="AL10" s="247"/>
      <c r="AM10" s="247"/>
      <c r="AN10" s="247"/>
      <c r="AO10" s="247"/>
      <c r="AP10" s="247"/>
      <c r="AQ10" s="237"/>
      <c r="AR10" s="237"/>
      <c r="AS10" s="789"/>
    </row>
    <row r="11" spans="1:52" s="1" customFormat="1" ht="143.25" customHeight="1" thickBot="1">
      <c r="A11" s="792" t="s">
        <v>436</v>
      </c>
      <c r="B11" s="792" t="s">
        <v>437</v>
      </c>
      <c r="C11" s="792" t="s">
        <v>438</v>
      </c>
      <c r="D11" s="792" t="s">
        <v>93</v>
      </c>
      <c r="E11" s="792" t="s">
        <v>69</v>
      </c>
      <c r="F11" s="792">
        <v>15</v>
      </c>
      <c r="G11" s="792" t="s">
        <v>439</v>
      </c>
      <c r="H11" s="104" t="s">
        <v>440</v>
      </c>
      <c r="I11" s="104" t="s">
        <v>72</v>
      </c>
      <c r="J11" s="102">
        <v>2</v>
      </c>
      <c r="K11" s="102">
        <v>2.5</v>
      </c>
      <c r="L11" s="100"/>
      <c r="M11" s="792" t="s">
        <v>441</v>
      </c>
      <c r="N11" s="101" t="s">
        <v>1193</v>
      </c>
      <c r="O11" s="99">
        <v>1</v>
      </c>
      <c r="P11" s="99" t="s">
        <v>72</v>
      </c>
      <c r="Q11" s="99">
        <v>1</v>
      </c>
      <c r="R11" s="99">
        <v>0</v>
      </c>
      <c r="S11" s="99">
        <v>0</v>
      </c>
      <c r="T11" s="99">
        <v>0</v>
      </c>
      <c r="U11" s="99">
        <v>1020100</v>
      </c>
      <c r="V11" s="99"/>
      <c r="W11" s="103">
        <v>44919334.403999999</v>
      </c>
      <c r="X11" s="97">
        <f t="shared" si="0"/>
        <v>44919334.403999999</v>
      </c>
      <c r="Y11" s="266"/>
      <c r="Z11" s="266"/>
      <c r="AA11" s="266"/>
      <c r="AB11" s="266"/>
      <c r="AC11" s="103">
        <v>17424396</v>
      </c>
      <c r="AD11" s="103">
        <v>17424396</v>
      </c>
      <c r="AE11" s="103"/>
      <c r="AF11" s="204"/>
      <c r="AG11" s="204"/>
      <c r="AH11" s="204"/>
      <c r="AI11" s="204"/>
      <c r="AJ11" s="204"/>
      <c r="AK11" s="204"/>
      <c r="AL11" s="204"/>
      <c r="AM11" s="204"/>
      <c r="AN11" s="204"/>
      <c r="AO11" s="204"/>
      <c r="AP11" s="204"/>
      <c r="AQ11" s="95" t="s">
        <v>244</v>
      </c>
      <c r="AR11" s="95" t="s">
        <v>244</v>
      </c>
      <c r="AS11" s="789"/>
    </row>
    <row r="12" spans="1:52" s="1" customFormat="1" ht="77.25" customHeight="1" thickBot="1">
      <c r="A12" s="793"/>
      <c r="B12" s="793"/>
      <c r="C12" s="793"/>
      <c r="D12" s="793"/>
      <c r="E12" s="793"/>
      <c r="F12" s="793"/>
      <c r="G12" s="793"/>
      <c r="H12" s="105" t="s">
        <v>443</v>
      </c>
      <c r="I12" s="105" t="s">
        <v>93</v>
      </c>
      <c r="J12" s="105">
        <v>80</v>
      </c>
      <c r="K12" s="106">
        <v>85</v>
      </c>
      <c r="L12" s="107"/>
      <c r="M12" s="793"/>
      <c r="N12" s="108" t="s">
        <v>1194</v>
      </c>
      <c r="O12" s="105">
        <v>1</v>
      </c>
      <c r="P12" s="99" t="s">
        <v>72</v>
      </c>
      <c r="Q12" s="105">
        <v>0</v>
      </c>
      <c r="R12" s="105">
        <v>0</v>
      </c>
      <c r="S12" s="105">
        <v>0</v>
      </c>
      <c r="T12" s="105">
        <v>1</v>
      </c>
      <c r="U12" s="109">
        <v>1020100</v>
      </c>
      <c r="V12" s="105"/>
      <c r="W12" s="103">
        <v>44919334.403999999</v>
      </c>
      <c r="X12" s="97">
        <f t="shared" si="0"/>
        <v>44919334.403999999</v>
      </c>
      <c r="Y12" s="266"/>
      <c r="Z12" s="266"/>
      <c r="AA12" s="266"/>
      <c r="AB12" s="266"/>
      <c r="AC12" s="103">
        <v>17424395</v>
      </c>
      <c r="AD12" s="103">
        <v>17424395</v>
      </c>
      <c r="AE12" s="103"/>
      <c r="AF12" s="204"/>
      <c r="AG12" s="204"/>
      <c r="AH12" s="204"/>
      <c r="AI12" s="204"/>
      <c r="AJ12" s="204"/>
      <c r="AK12" s="204"/>
      <c r="AL12" s="204"/>
      <c r="AM12" s="204"/>
      <c r="AN12" s="204"/>
      <c r="AO12" s="204"/>
      <c r="AP12" s="204"/>
      <c r="AQ12" s="95" t="s">
        <v>244</v>
      </c>
      <c r="AR12" s="95" t="s">
        <v>244</v>
      </c>
      <c r="AS12" s="790"/>
    </row>
    <row r="13" spans="1:52" s="1" customFormat="1" ht="36.75" customHeight="1">
      <c r="A13" s="1196" t="s">
        <v>1192</v>
      </c>
      <c r="B13" s="1197"/>
      <c r="C13" s="1197"/>
      <c r="D13" s="1197"/>
      <c r="E13" s="1197"/>
      <c r="F13" s="1197"/>
      <c r="G13" s="1197"/>
      <c r="H13" s="1197"/>
      <c r="I13" s="1197"/>
      <c r="J13" s="1197"/>
      <c r="K13" s="1197"/>
      <c r="L13" s="1197"/>
      <c r="M13" s="1197"/>
      <c r="N13" s="1198"/>
      <c r="O13" s="198">
        <f>SUM(O11:O12)</f>
        <v>2</v>
      </c>
      <c r="P13" s="198" t="s">
        <v>142</v>
      </c>
      <c r="Q13" s="198">
        <f t="shared" ref="Q13:T13" si="4">SUM(Q11:Q12)</f>
        <v>1</v>
      </c>
      <c r="R13" s="198">
        <f t="shared" si="4"/>
        <v>0</v>
      </c>
      <c r="S13" s="198">
        <f t="shared" si="4"/>
        <v>0</v>
      </c>
      <c r="T13" s="198">
        <f t="shared" si="4"/>
        <v>1</v>
      </c>
      <c r="U13" s="198"/>
      <c r="V13" s="198"/>
      <c r="W13" s="201">
        <f>SUM(W11:W12)</f>
        <v>89838668.807999998</v>
      </c>
      <c r="X13" s="201">
        <f>SUM(X11:X12)</f>
        <v>89838668.807999998</v>
      </c>
      <c r="Y13" s="198">
        <f>SUM(Y11:Y12)</f>
        <v>0</v>
      </c>
      <c r="Z13" s="198">
        <f t="shared" ref="Z13:AH13" si="5">SUM(Z11:Z12)</f>
        <v>0</v>
      </c>
      <c r="AA13" s="198">
        <f t="shared" si="5"/>
        <v>0</v>
      </c>
      <c r="AB13" s="198">
        <f t="shared" si="5"/>
        <v>0</v>
      </c>
      <c r="AC13" s="201">
        <f t="shared" si="5"/>
        <v>34848791</v>
      </c>
      <c r="AD13" s="201">
        <f t="shared" si="5"/>
        <v>34848791</v>
      </c>
      <c r="AE13" s="201">
        <f t="shared" si="5"/>
        <v>0</v>
      </c>
      <c r="AF13" s="201">
        <f t="shared" si="5"/>
        <v>0</v>
      </c>
      <c r="AG13" s="201">
        <f t="shared" si="5"/>
        <v>0</v>
      </c>
      <c r="AH13" s="201">
        <f t="shared" si="5"/>
        <v>0</v>
      </c>
      <c r="AI13" s="247"/>
      <c r="AJ13" s="247"/>
      <c r="AK13" s="247"/>
      <c r="AL13" s="247"/>
      <c r="AM13" s="247"/>
      <c r="AN13" s="247"/>
      <c r="AO13" s="247"/>
      <c r="AP13" s="247"/>
      <c r="AQ13" s="237"/>
      <c r="AR13" s="237"/>
    </row>
    <row r="14" spans="1:52" s="1" customFormat="1">
      <c r="A14" s="3"/>
      <c r="B14" s="3"/>
      <c r="C14" s="3"/>
      <c r="D14" s="3"/>
      <c r="E14" s="3"/>
      <c r="F14" s="3"/>
      <c r="G14" s="3"/>
      <c r="H14" s="3"/>
      <c r="I14" s="3"/>
      <c r="N14" s="5"/>
      <c r="O14" s="3"/>
      <c r="P14" s="3"/>
      <c r="Q14" s="3"/>
      <c r="R14" s="3"/>
      <c r="S14" s="3"/>
      <c r="T14" s="3"/>
      <c r="U14" s="3">
        <v>90692582256</v>
      </c>
      <c r="V14" s="3"/>
      <c r="W14" s="7"/>
      <c r="X14" s="8"/>
      <c r="Y14" s="8"/>
      <c r="Z14" s="8"/>
      <c r="AA14" s="8"/>
      <c r="AB14" s="8"/>
      <c r="AC14" s="8"/>
      <c r="AD14" s="8"/>
      <c r="AE14" s="8"/>
      <c r="AF14" s="8"/>
      <c r="AG14" s="8"/>
      <c r="AH14" s="8"/>
      <c r="AI14" s="8"/>
      <c r="AJ14" s="8"/>
      <c r="AK14" s="8"/>
      <c r="AL14" s="8"/>
      <c r="AM14" s="8"/>
      <c r="AN14" s="8"/>
      <c r="AO14" s="8"/>
      <c r="AP14" s="8"/>
      <c r="AQ14" s="3"/>
      <c r="AR14" s="3"/>
    </row>
    <row r="15" spans="1:52" s="1" customFormat="1">
      <c r="A15" s="3"/>
      <c r="B15" s="3"/>
      <c r="C15" s="3"/>
      <c r="D15" s="3"/>
      <c r="E15" s="3"/>
      <c r="F15" s="3"/>
      <c r="G15" s="3"/>
      <c r="H15" s="3"/>
      <c r="I15" s="3"/>
      <c r="N15" s="5"/>
      <c r="O15" s="3"/>
      <c r="P15" s="3"/>
      <c r="Q15" s="3"/>
      <c r="R15" s="3"/>
      <c r="S15" s="3"/>
      <c r="T15" s="3"/>
      <c r="U15" s="3">
        <v>59707696938</v>
      </c>
      <c r="V15" s="3"/>
      <c r="W15" s="7"/>
      <c r="X15" s="11" t="e">
        <f>#REF!-#REF!</f>
        <v>#REF!</v>
      </c>
      <c r="Y15" s="11"/>
      <c r="Z15" s="11"/>
      <c r="AA15" s="11"/>
      <c r="AB15" s="11"/>
      <c r="AC15" s="11"/>
      <c r="AD15" s="11"/>
      <c r="AE15" s="11"/>
      <c r="AF15" s="11"/>
      <c r="AG15" s="11"/>
      <c r="AH15" s="11"/>
      <c r="AI15" s="11"/>
      <c r="AJ15" s="11"/>
      <c r="AK15" s="11"/>
      <c r="AL15" s="11"/>
      <c r="AM15" s="11"/>
      <c r="AN15" s="11"/>
      <c r="AO15" s="11"/>
      <c r="AP15" s="11"/>
      <c r="AQ15" s="3"/>
      <c r="AR15" s="3"/>
    </row>
    <row r="16" spans="1:52" s="1" customFormat="1">
      <c r="A16" s="3"/>
      <c r="B16" s="3"/>
      <c r="C16" s="3"/>
      <c r="D16" s="3"/>
      <c r="E16" s="3"/>
      <c r="F16" s="3"/>
      <c r="G16" s="3"/>
      <c r="H16" s="3"/>
      <c r="I16" s="3"/>
      <c r="N16" s="5"/>
      <c r="O16" s="3"/>
      <c r="P16" s="3"/>
      <c r="Q16" s="3"/>
      <c r="R16" s="3"/>
      <c r="S16" s="3"/>
      <c r="T16" s="3"/>
      <c r="U16" s="3">
        <f>+U14-U15</f>
        <v>30984885318</v>
      </c>
      <c r="V16" s="3"/>
      <c r="W16" s="7"/>
      <c r="X16" s="7"/>
      <c r="Y16" s="7"/>
      <c r="Z16" s="7"/>
      <c r="AA16" s="7"/>
      <c r="AB16" s="7"/>
      <c r="AC16" s="7"/>
      <c r="AD16" s="7"/>
      <c r="AE16" s="7"/>
      <c r="AF16" s="7"/>
      <c r="AG16" s="7"/>
      <c r="AH16" s="7"/>
      <c r="AI16" s="7"/>
      <c r="AJ16" s="7"/>
      <c r="AK16" s="7"/>
      <c r="AL16" s="7"/>
      <c r="AM16" s="7"/>
      <c r="AN16" s="7"/>
      <c r="AO16" s="7"/>
      <c r="AP16" s="7"/>
      <c r="AQ16" s="3"/>
      <c r="AR16" s="3"/>
    </row>
    <row r="17" spans="1:44" s="1" customFormat="1">
      <c r="A17" s="3"/>
      <c r="B17" s="3"/>
      <c r="C17" s="3"/>
      <c r="D17" s="3"/>
      <c r="E17" s="3"/>
      <c r="F17" s="3"/>
      <c r="G17" s="3"/>
      <c r="H17" s="3"/>
      <c r="I17" s="3"/>
      <c r="N17" s="5"/>
      <c r="O17" s="3"/>
      <c r="P17" s="3"/>
      <c r="Q17" s="3"/>
      <c r="R17" s="3"/>
      <c r="S17" s="3"/>
      <c r="T17" s="3"/>
      <c r="U17" s="3"/>
      <c r="V17" s="3"/>
      <c r="W17" s="7"/>
      <c r="X17" s="7"/>
      <c r="Y17" s="7"/>
      <c r="Z17" s="7"/>
      <c r="AA17" s="7"/>
      <c r="AB17" s="7"/>
      <c r="AC17" s="7"/>
      <c r="AD17" s="7"/>
      <c r="AE17" s="7"/>
      <c r="AF17" s="7"/>
      <c r="AG17" s="7"/>
      <c r="AH17" s="7"/>
      <c r="AI17" s="7"/>
      <c r="AJ17" s="7"/>
      <c r="AK17" s="7"/>
      <c r="AL17" s="7"/>
      <c r="AM17" s="7"/>
      <c r="AN17" s="7"/>
      <c r="AO17" s="7"/>
      <c r="AP17" s="7"/>
      <c r="AQ17" s="3"/>
      <c r="AR17" s="3"/>
    </row>
    <row r="18" spans="1:44" s="1" customFormat="1">
      <c r="A18" s="3"/>
      <c r="B18" s="3"/>
      <c r="C18" s="3"/>
      <c r="D18" s="3"/>
      <c r="E18" s="3"/>
      <c r="F18" s="3"/>
      <c r="G18" s="3"/>
      <c r="H18" s="3"/>
      <c r="M18" s="5"/>
      <c r="N18" s="3"/>
      <c r="O18" s="3"/>
      <c r="P18" s="3"/>
      <c r="Q18" s="3"/>
      <c r="R18" s="3"/>
      <c r="S18" s="3"/>
      <c r="T18" s="3"/>
      <c r="U18" s="3"/>
      <c r="V18" s="3"/>
      <c r="W18" s="7"/>
      <c r="X18" s="7" t="e">
        <f>#REF!-X21</f>
        <v>#REF!</v>
      </c>
      <c r="Y18" s="7"/>
      <c r="Z18" s="7"/>
      <c r="AA18" s="7"/>
      <c r="AB18" s="7"/>
      <c r="AC18" s="7"/>
      <c r="AD18" s="7"/>
      <c r="AE18" s="7"/>
      <c r="AF18" s="7"/>
      <c r="AG18" s="7"/>
      <c r="AH18" s="7"/>
      <c r="AI18" s="7"/>
      <c r="AJ18" s="7"/>
      <c r="AK18" s="7"/>
      <c r="AL18" s="7"/>
      <c r="AM18" s="7"/>
      <c r="AN18" s="7"/>
      <c r="AO18" s="7"/>
      <c r="AP18" s="7"/>
      <c r="AQ18" s="3"/>
      <c r="AR18" s="3"/>
    </row>
    <row r="19" spans="1:44" s="1" customFormat="1" ht="15">
      <c r="A19" s="1108" t="s">
        <v>995</v>
      </c>
      <c r="B19" s="1108"/>
      <c r="C19" s="1108"/>
      <c r="D19" s="1108"/>
      <c r="E19" s="1108"/>
      <c r="F19" s="1108"/>
      <c r="G19" s="1108"/>
      <c r="H19" s="1108"/>
      <c r="I19" s="1108"/>
      <c r="J19" s="1108"/>
      <c r="K19" s="1108"/>
      <c r="L19" s="1108"/>
      <c r="M19" s="1108"/>
      <c r="N19" s="1108"/>
      <c r="O19" s="1108"/>
      <c r="P19" s="3"/>
      <c r="Q19" s="3"/>
      <c r="R19" s="3"/>
      <c r="S19" s="3"/>
      <c r="T19" s="3"/>
      <c r="U19" s="13" t="e">
        <f>U15-#REF!</f>
        <v>#REF!</v>
      </c>
      <c r="V19" s="3"/>
      <c r="W19" s="7"/>
      <c r="X19" s="7"/>
      <c r="Y19" s="7"/>
      <c r="Z19" s="7"/>
      <c r="AA19" s="7"/>
      <c r="AB19" s="7"/>
      <c r="AC19" s="7"/>
      <c r="AD19" s="7"/>
      <c r="AE19" s="7"/>
      <c r="AF19" s="7"/>
      <c r="AG19" s="7"/>
      <c r="AH19" s="7"/>
      <c r="AI19" s="7"/>
      <c r="AJ19" s="7"/>
      <c r="AK19" s="7"/>
      <c r="AL19" s="7"/>
      <c r="AM19" s="7"/>
      <c r="AN19" s="7"/>
      <c r="AO19" s="7"/>
      <c r="AP19" s="7"/>
      <c r="AQ19" s="3"/>
      <c r="AR19" s="3"/>
    </row>
    <row r="20" spans="1:44" s="1" customFormat="1" ht="60">
      <c r="A20" s="223" t="s">
        <v>996</v>
      </c>
      <c r="B20" s="224" t="s">
        <v>997</v>
      </c>
      <c r="C20" s="224" t="s">
        <v>998</v>
      </c>
      <c r="D20" s="224" t="s">
        <v>660</v>
      </c>
      <c r="E20" s="224" t="s">
        <v>999</v>
      </c>
      <c r="F20" s="224" t="s">
        <v>660</v>
      </c>
      <c r="G20" s="224" t="s">
        <v>1000</v>
      </c>
      <c r="H20" s="224" t="s">
        <v>660</v>
      </c>
      <c r="I20" s="224"/>
      <c r="J20" s="225"/>
      <c r="K20" s="225"/>
      <c r="L20" s="225"/>
      <c r="M20" s="224" t="s">
        <v>660</v>
      </c>
      <c r="N20" s="224" t="s">
        <v>1001</v>
      </c>
      <c r="O20" s="224" t="s">
        <v>660</v>
      </c>
      <c r="P20" s="3"/>
      <c r="Q20" s="3"/>
      <c r="R20" s="3"/>
      <c r="S20" s="3"/>
      <c r="T20" s="3"/>
      <c r="U20" s="3"/>
      <c r="V20" s="14" t="e">
        <f>X21-#REF!</f>
        <v>#REF!</v>
      </c>
      <c r="W20" s="7"/>
      <c r="X20" s="7"/>
      <c r="Y20" s="7"/>
      <c r="Z20" s="7"/>
      <c r="AA20" s="7"/>
      <c r="AB20" s="7"/>
      <c r="AC20" s="7"/>
      <c r="AD20" s="7"/>
      <c r="AE20" s="7"/>
      <c r="AF20" s="7"/>
      <c r="AG20" s="7"/>
      <c r="AH20" s="7"/>
      <c r="AI20" s="7"/>
      <c r="AJ20" s="7"/>
      <c r="AK20" s="7"/>
      <c r="AL20" s="7"/>
      <c r="AM20" s="7"/>
      <c r="AN20" s="7"/>
      <c r="AO20" s="7"/>
      <c r="AP20" s="7"/>
      <c r="AQ20" s="3"/>
      <c r="AR20" s="3"/>
    </row>
    <row r="21" spans="1:44" s="1" customFormat="1" ht="23.25">
      <c r="A21" s="213" t="s">
        <v>1002</v>
      </c>
      <c r="B21" s="213">
        <f>O10</f>
        <v>10</v>
      </c>
      <c r="C21" s="213">
        <f>Y10</f>
        <v>0</v>
      </c>
      <c r="D21" s="220">
        <f>B21*C21/100</f>
        <v>0</v>
      </c>
      <c r="E21" s="213">
        <f>Z10</f>
        <v>0</v>
      </c>
      <c r="F21" s="220">
        <f>B21*E21/100</f>
        <v>0</v>
      </c>
      <c r="G21" s="213">
        <f>AA10</f>
        <v>0</v>
      </c>
      <c r="H21" s="220">
        <f>B21*G21/100</f>
        <v>0</v>
      </c>
      <c r="I21" s="214"/>
      <c r="J21" s="214"/>
      <c r="K21" s="214"/>
      <c r="L21" s="214"/>
      <c r="M21" s="215"/>
      <c r="N21" s="213">
        <f>AB10</f>
        <v>0</v>
      </c>
      <c r="O21" s="220">
        <f>B21*N21/100</f>
        <v>0</v>
      </c>
      <c r="P21" s="3"/>
      <c r="Q21" s="3"/>
      <c r="R21" s="3"/>
      <c r="S21" s="3"/>
      <c r="T21" s="3"/>
      <c r="U21" s="3"/>
      <c r="V21" s="3"/>
      <c r="W21" s="7"/>
      <c r="X21" s="12">
        <v>90692582257</v>
      </c>
      <c r="Y21" s="202"/>
      <c r="Z21" s="202"/>
      <c r="AA21" s="202"/>
      <c r="AB21" s="202"/>
      <c r="AC21" s="202"/>
      <c r="AD21" s="202"/>
      <c r="AE21" s="202"/>
      <c r="AF21" s="202"/>
      <c r="AG21" s="202"/>
      <c r="AH21" s="202"/>
      <c r="AI21" s="202"/>
      <c r="AJ21" s="202"/>
      <c r="AK21" s="202"/>
      <c r="AL21" s="202"/>
      <c r="AM21" s="202"/>
      <c r="AN21" s="202"/>
      <c r="AO21" s="202"/>
      <c r="AP21" s="202"/>
      <c r="AQ21" s="13" t="e">
        <f>X21-#REF!</f>
        <v>#REF!</v>
      </c>
      <c r="AR21" s="3"/>
    </row>
    <row r="22" spans="1:44" s="1" customFormat="1">
      <c r="A22" s="3"/>
      <c r="B22" s="3"/>
      <c r="C22" s="3"/>
      <c r="D22" s="3"/>
      <c r="E22" s="3"/>
      <c r="F22" s="3"/>
      <c r="G22" s="3"/>
      <c r="H22" s="3"/>
      <c r="M22" s="5"/>
      <c r="N22" s="3"/>
      <c r="O22" s="3"/>
      <c r="P22" s="3"/>
      <c r="Q22" s="3"/>
      <c r="R22" s="3"/>
      <c r="S22" s="3"/>
      <c r="T22" s="3"/>
      <c r="U22" s="13" t="e">
        <f>#REF!-U15</f>
        <v>#REF!</v>
      </c>
      <c r="V22" s="3"/>
      <c r="W22" s="7"/>
      <c r="X22" s="7"/>
      <c r="Y22" s="7"/>
      <c r="Z22" s="7"/>
      <c r="AA22" s="7"/>
      <c r="AB22" s="7"/>
      <c r="AC22" s="7"/>
      <c r="AD22" s="7"/>
      <c r="AE22" s="7"/>
      <c r="AF22" s="7"/>
      <c r="AG22" s="7"/>
      <c r="AH22" s="7"/>
      <c r="AI22" s="7"/>
      <c r="AJ22" s="7"/>
      <c r="AK22" s="7"/>
      <c r="AL22" s="7"/>
      <c r="AM22" s="7"/>
      <c r="AN22" s="7"/>
      <c r="AO22" s="7"/>
      <c r="AP22" s="7"/>
      <c r="AQ22" s="3"/>
      <c r="AR22" s="3"/>
    </row>
    <row r="23" spans="1:44" s="1" customFormat="1" ht="15">
      <c r="A23" s="1109" t="s">
        <v>1003</v>
      </c>
      <c r="B23" s="1109"/>
      <c r="C23" s="1109"/>
      <c r="D23" s="1109"/>
      <c r="E23" s="1109"/>
      <c r="F23" s="1109"/>
      <c r="G23" s="1109"/>
      <c r="H23" s="1109"/>
      <c r="I23" s="1109"/>
      <c r="J23" s="1109"/>
      <c r="K23" s="1109"/>
      <c r="L23" s="1109"/>
      <c r="M23" s="1109"/>
      <c r="N23" s="1109"/>
      <c r="O23" s="3"/>
      <c r="P23" s="3"/>
      <c r="Q23" s="3"/>
      <c r="R23" s="3"/>
      <c r="S23" s="3"/>
      <c r="T23" s="3"/>
      <c r="U23" s="3"/>
      <c r="V23" s="3"/>
      <c r="W23" s="7"/>
      <c r="X23" s="7"/>
      <c r="Y23" s="7"/>
      <c r="Z23" s="7"/>
      <c r="AA23" s="7"/>
      <c r="AB23" s="7"/>
      <c r="AC23" s="7"/>
      <c r="AD23" s="7"/>
      <c r="AE23" s="7"/>
      <c r="AF23" s="7"/>
      <c r="AG23" s="7"/>
      <c r="AH23" s="7"/>
      <c r="AI23" s="7"/>
      <c r="AJ23" s="7"/>
      <c r="AK23" s="7"/>
      <c r="AL23" s="7"/>
      <c r="AM23" s="7"/>
      <c r="AN23" s="7"/>
      <c r="AO23" s="7"/>
      <c r="AP23" s="7"/>
      <c r="AQ23" s="3"/>
      <c r="AR23" s="3"/>
    </row>
    <row r="24" spans="1:44" s="1" customFormat="1" ht="45">
      <c r="A24" s="221" t="s">
        <v>674</v>
      </c>
      <c r="B24" s="221" t="s">
        <v>1004</v>
      </c>
      <c r="C24" s="221" t="s">
        <v>660</v>
      </c>
      <c r="D24" s="221" t="s">
        <v>1005</v>
      </c>
      <c r="E24" s="221" t="s">
        <v>660</v>
      </c>
      <c r="F24" s="221" t="s">
        <v>1006</v>
      </c>
      <c r="G24" s="221" t="s">
        <v>660</v>
      </c>
      <c r="H24" s="221" t="s">
        <v>1007</v>
      </c>
      <c r="I24" s="222"/>
      <c r="J24" s="222"/>
      <c r="K24" s="222"/>
      <c r="L24" s="222"/>
      <c r="M24" s="221" t="s">
        <v>1007</v>
      </c>
      <c r="N24" s="221" t="s">
        <v>660</v>
      </c>
      <c r="O24" s="3"/>
      <c r="P24" s="3"/>
      <c r="Q24" s="3"/>
      <c r="R24" s="3"/>
      <c r="S24" s="3"/>
      <c r="T24" s="3"/>
      <c r="U24" s="3"/>
      <c r="V24" s="3"/>
      <c r="W24" s="7"/>
      <c r="X24" s="7"/>
      <c r="Y24" s="7"/>
      <c r="Z24" s="7"/>
      <c r="AA24" s="7"/>
      <c r="AB24" s="7"/>
      <c r="AC24" s="7"/>
      <c r="AD24" s="7"/>
      <c r="AE24" s="7"/>
      <c r="AF24" s="7"/>
      <c r="AG24" s="7"/>
      <c r="AH24" s="7"/>
      <c r="AI24" s="7"/>
      <c r="AJ24" s="7"/>
      <c r="AK24" s="7"/>
      <c r="AL24" s="7"/>
      <c r="AM24" s="7"/>
      <c r="AN24" s="7"/>
      <c r="AO24" s="7"/>
      <c r="AP24" s="7"/>
      <c r="AQ24" s="3"/>
      <c r="AR24" s="3"/>
    </row>
    <row r="25" spans="1:44" s="1" customFormat="1">
      <c r="A25" s="217">
        <f>X10</f>
        <v>30000000</v>
      </c>
      <c r="B25" s="217">
        <f>AC10</f>
        <v>0</v>
      </c>
      <c r="C25" s="220">
        <f>A25*B25/100</f>
        <v>0</v>
      </c>
      <c r="D25" s="217">
        <f>AD10</f>
        <v>0</v>
      </c>
      <c r="E25" s="220">
        <f>A25*D25/100</f>
        <v>0</v>
      </c>
      <c r="F25" s="217">
        <f>AE10</f>
        <v>0</v>
      </c>
      <c r="G25" s="220">
        <f>A25*F25/100</f>
        <v>0</v>
      </c>
      <c r="H25" s="217">
        <f>AF10</f>
        <v>0</v>
      </c>
      <c r="I25" s="214"/>
      <c r="J25" s="214"/>
      <c r="K25" s="214"/>
      <c r="L25" s="214"/>
      <c r="M25" s="228">
        <f>AE5</f>
        <v>0</v>
      </c>
      <c r="N25" s="220">
        <f>A25*H25/100</f>
        <v>0</v>
      </c>
      <c r="O25" s="3"/>
      <c r="P25" s="3"/>
      <c r="Q25" s="3"/>
      <c r="R25" s="3"/>
      <c r="S25" s="3"/>
      <c r="T25" s="3"/>
      <c r="U25" s="3"/>
      <c r="V25" s="3"/>
      <c r="W25" s="7"/>
      <c r="X25" s="7"/>
      <c r="Y25" s="7"/>
      <c r="Z25" s="7"/>
      <c r="AA25" s="7"/>
      <c r="AB25" s="7"/>
      <c r="AC25" s="7"/>
      <c r="AD25" s="7"/>
      <c r="AE25" s="7"/>
      <c r="AF25" s="7"/>
      <c r="AG25" s="7"/>
      <c r="AH25" s="7"/>
      <c r="AI25" s="7"/>
      <c r="AJ25" s="7"/>
      <c r="AK25" s="7"/>
      <c r="AL25" s="7"/>
      <c r="AM25" s="7"/>
      <c r="AN25" s="7"/>
      <c r="AO25" s="7"/>
      <c r="AP25" s="7"/>
      <c r="AQ25" s="3"/>
      <c r="AR25" s="3"/>
    </row>
    <row r="26" spans="1:44" s="1" customFormat="1">
      <c r="A26" s="213"/>
      <c r="B26" s="213"/>
      <c r="C26" s="213"/>
      <c r="D26" s="213"/>
      <c r="E26" s="213"/>
      <c r="F26" s="213"/>
      <c r="G26" s="213"/>
      <c r="H26" s="213"/>
      <c r="I26" s="214"/>
      <c r="J26" s="214"/>
      <c r="K26" s="214"/>
      <c r="L26" s="214"/>
      <c r="M26" s="215"/>
      <c r="N26" s="213"/>
      <c r="O26" s="3"/>
      <c r="P26" s="3"/>
      <c r="Q26" s="3"/>
      <c r="R26" s="3"/>
      <c r="S26" s="3"/>
      <c r="T26" s="3"/>
      <c r="U26" s="3"/>
      <c r="V26" s="3"/>
      <c r="W26" s="7"/>
      <c r="X26" s="7"/>
      <c r="Y26" s="7"/>
      <c r="Z26" s="7"/>
      <c r="AA26" s="7"/>
      <c r="AB26" s="7"/>
      <c r="AC26" s="7"/>
      <c r="AD26" s="7"/>
      <c r="AE26" s="7"/>
      <c r="AF26" s="7"/>
      <c r="AG26" s="7"/>
      <c r="AH26" s="7"/>
      <c r="AI26" s="7"/>
      <c r="AJ26" s="7"/>
      <c r="AK26" s="7"/>
      <c r="AL26" s="7"/>
      <c r="AM26" s="7"/>
      <c r="AN26" s="7"/>
      <c r="AO26" s="7"/>
      <c r="AP26" s="7"/>
      <c r="AQ26" s="3"/>
      <c r="AR26" s="3"/>
    </row>
    <row r="27" spans="1:44" s="1" customFormat="1">
      <c r="A27" s="3"/>
      <c r="B27" s="3"/>
      <c r="C27" s="3"/>
      <c r="D27" s="3"/>
      <c r="E27" s="3"/>
      <c r="F27" s="3"/>
      <c r="G27" s="3"/>
      <c r="H27" s="3"/>
      <c r="M27" s="5"/>
      <c r="N27" s="3"/>
      <c r="O27" s="3"/>
      <c r="P27" s="3"/>
      <c r="Q27" s="3"/>
      <c r="R27" s="3"/>
      <c r="S27" s="3"/>
      <c r="T27" s="3"/>
      <c r="U27" s="3"/>
      <c r="V27" s="3"/>
      <c r="W27" s="7"/>
      <c r="X27" s="7"/>
      <c r="Y27" s="7"/>
      <c r="Z27" s="7"/>
      <c r="AA27" s="7"/>
      <c r="AB27" s="7"/>
      <c r="AC27" s="7"/>
      <c r="AD27" s="7"/>
      <c r="AE27" s="7"/>
      <c r="AF27" s="7"/>
      <c r="AG27" s="7"/>
      <c r="AH27" s="7"/>
      <c r="AI27" s="7"/>
      <c r="AJ27" s="7"/>
      <c r="AK27" s="7"/>
      <c r="AL27" s="7"/>
      <c r="AM27" s="7"/>
      <c r="AN27" s="7"/>
      <c r="AO27" s="7"/>
      <c r="AP27" s="7"/>
      <c r="AQ27" s="3"/>
      <c r="AR27" s="3"/>
    </row>
    <row r="28" spans="1:44" s="1" customFormat="1" ht="15">
      <c r="A28" s="1108" t="s">
        <v>1008</v>
      </c>
      <c r="B28" s="1108"/>
      <c r="C28" s="1108"/>
      <c r="D28" s="1108"/>
      <c r="E28" s="1108"/>
      <c r="F28" s="1108"/>
      <c r="G28" s="1108"/>
      <c r="H28" s="1108"/>
      <c r="I28" s="1108"/>
      <c r="J28" s="1108"/>
      <c r="K28" s="1108"/>
      <c r="L28" s="1108"/>
      <c r="M28" s="1108"/>
      <c r="N28" s="1108"/>
      <c r="O28" s="1108"/>
      <c r="P28" s="3"/>
      <c r="Q28" s="3"/>
      <c r="R28" s="3"/>
      <c r="S28" s="3"/>
      <c r="T28" s="3"/>
      <c r="U28" s="3"/>
      <c r="V28" s="3"/>
      <c r="W28" s="7"/>
      <c r="X28" s="7"/>
      <c r="Y28" s="7"/>
      <c r="Z28" s="7"/>
      <c r="AA28" s="7"/>
      <c r="AB28" s="7"/>
      <c r="AC28" s="7"/>
      <c r="AD28" s="7"/>
      <c r="AE28" s="7"/>
      <c r="AF28" s="7"/>
      <c r="AG28" s="7"/>
      <c r="AH28" s="7"/>
      <c r="AI28" s="7"/>
      <c r="AJ28" s="7"/>
      <c r="AK28" s="7"/>
      <c r="AL28" s="7"/>
      <c r="AM28" s="7"/>
      <c r="AN28" s="7"/>
      <c r="AO28" s="7"/>
      <c r="AP28" s="7"/>
      <c r="AQ28" s="3"/>
      <c r="AR28" s="3"/>
    </row>
    <row r="29" spans="1:44" s="1" customFormat="1" ht="60">
      <c r="A29" s="223" t="s">
        <v>996</v>
      </c>
      <c r="B29" s="224" t="s">
        <v>997</v>
      </c>
      <c r="C29" s="224" t="s">
        <v>998</v>
      </c>
      <c r="D29" s="224" t="s">
        <v>660</v>
      </c>
      <c r="E29" s="224" t="s">
        <v>999</v>
      </c>
      <c r="F29" s="224" t="s">
        <v>660</v>
      </c>
      <c r="G29" s="224" t="s">
        <v>1000</v>
      </c>
      <c r="H29" s="224" t="s">
        <v>660</v>
      </c>
      <c r="I29" s="224"/>
      <c r="J29" s="225"/>
      <c r="K29" s="225"/>
      <c r="L29" s="225"/>
      <c r="M29" s="224" t="s">
        <v>660</v>
      </c>
      <c r="N29" s="224" t="s">
        <v>1001</v>
      </c>
      <c r="O29" s="224" t="s">
        <v>660</v>
      </c>
      <c r="P29" s="3"/>
      <c r="Q29" s="3"/>
      <c r="R29" s="3"/>
      <c r="S29" s="3"/>
      <c r="T29" s="3"/>
      <c r="U29" s="3"/>
      <c r="V29" s="3"/>
      <c r="W29" s="7"/>
      <c r="X29" s="7"/>
      <c r="Y29" s="7"/>
      <c r="Z29" s="7"/>
      <c r="AA29" s="7"/>
      <c r="AB29" s="7"/>
      <c r="AC29" s="7"/>
      <c r="AD29" s="7"/>
      <c r="AE29" s="7"/>
      <c r="AF29" s="7"/>
      <c r="AG29" s="7"/>
      <c r="AH29" s="7"/>
      <c r="AI29" s="7"/>
      <c r="AJ29" s="7"/>
      <c r="AK29" s="7"/>
      <c r="AL29" s="7"/>
      <c r="AM29" s="7"/>
      <c r="AN29" s="7"/>
      <c r="AO29" s="7"/>
      <c r="AP29" s="7"/>
      <c r="AQ29" s="3"/>
      <c r="AR29" s="3"/>
    </row>
    <row r="30" spans="1:44" s="1" customFormat="1">
      <c r="A30" s="213" t="s">
        <v>1002</v>
      </c>
      <c r="B30" s="213">
        <f>O13</f>
        <v>2</v>
      </c>
      <c r="C30" s="213">
        <f>Y13</f>
        <v>0</v>
      </c>
      <c r="D30" s="220">
        <f>B30*C30/100</f>
        <v>0</v>
      </c>
      <c r="E30" s="213">
        <f>Z13</f>
        <v>0</v>
      </c>
      <c r="F30" s="220">
        <f>B30*E30/100</f>
        <v>0</v>
      </c>
      <c r="G30" s="213">
        <f>AA13</f>
        <v>0</v>
      </c>
      <c r="H30" s="220">
        <f>B30*G30/100</f>
        <v>0</v>
      </c>
      <c r="I30" s="214"/>
      <c r="J30" s="214"/>
      <c r="K30" s="214"/>
      <c r="L30" s="214"/>
      <c r="M30" s="215"/>
      <c r="N30" s="213">
        <f>AB13</f>
        <v>0</v>
      </c>
      <c r="O30" s="220">
        <f>B30*N30/100</f>
        <v>0</v>
      </c>
      <c r="P30" s="3"/>
      <c r="Q30" s="3"/>
      <c r="R30" s="3"/>
      <c r="S30" s="3"/>
      <c r="T30" s="3"/>
      <c r="U30" s="3"/>
      <c r="V30" s="3"/>
      <c r="W30" s="7"/>
      <c r="X30" s="7"/>
      <c r="Y30" s="7"/>
      <c r="Z30" s="7"/>
      <c r="AA30" s="7"/>
      <c r="AB30" s="7"/>
      <c r="AC30" s="7"/>
      <c r="AD30" s="7"/>
      <c r="AE30" s="7"/>
      <c r="AF30" s="7"/>
      <c r="AG30" s="7"/>
      <c r="AH30" s="7"/>
      <c r="AI30" s="7"/>
      <c r="AJ30" s="7"/>
      <c r="AK30" s="7"/>
      <c r="AL30" s="7"/>
      <c r="AM30" s="7"/>
      <c r="AN30" s="7"/>
      <c r="AO30" s="7"/>
      <c r="AP30" s="7"/>
      <c r="AQ30" s="3"/>
      <c r="AR30" s="3"/>
    </row>
    <row r="31" spans="1:44" s="1" customFormat="1">
      <c r="A31" s="3"/>
      <c r="B31" s="3"/>
      <c r="C31" s="3"/>
      <c r="D31" s="3"/>
      <c r="E31" s="3"/>
      <c r="F31" s="3"/>
      <c r="G31" s="3"/>
      <c r="H31" s="3"/>
      <c r="M31" s="5"/>
      <c r="N31" s="3"/>
      <c r="O31" s="3"/>
      <c r="P31" s="3"/>
      <c r="Q31" s="3"/>
      <c r="R31" s="3"/>
      <c r="S31" s="3"/>
      <c r="T31" s="3"/>
      <c r="U31" s="3"/>
      <c r="V31" s="3"/>
      <c r="W31" s="7"/>
      <c r="X31" s="7"/>
      <c r="Y31" s="7"/>
      <c r="Z31" s="7"/>
      <c r="AA31" s="7"/>
      <c r="AB31" s="7"/>
      <c r="AC31" s="7"/>
      <c r="AD31" s="7"/>
      <c r="AE31" s="7"/>
      <c r="AF31" s="7"/>
      <c r="AG31" s="7"/>
      <c r="AH31" s="7"/>
      <c r="AI31" s="7"/>
      <c r="AJ31" s="7"/>
      <c r="AK31" s="7"/>
      <c r="AL31" s="7"/>
      <c r="AM31" s="7"/>
      <c r="AN31" s="7"/>
      <c r="AO31" s="7"/>
      <c r="AP31" s="7"/>
      <c r="AQ31" s="3"/>
      <c r="AR31" s="3"/>
    </row>
    <row r="32" spans="1:44" s="1" customFormat="1" ht="15">
      <c r="A32" s="1109" t="s">
        <v>1009</v>
      </c>
      <c r="B32" s="1109"/>
      <c r="C32" s="1109"/>
      <c r="D32" s="1109"/>
      <c r="E32" s="1109"/>
      <c r="F32" s="1109"/>
      <c r="G32" s="1109"/>
      <c r="H32" s="1109"/>
      <c r="I32" s="1109"/>
      <c r="J32" s="1109"/>
      <c r="K32" s="1109"/>
      <c r="L32" s="1109"/>
      <c r="M32" s="1109"/>
      <c r="N32" s="1109"/>
      <c r="O32" s="3"/>
      <c r="P32" s="3"/>
      <c r="Q32" s="3"/>
      <c r="R32" s="3"/>
      <c r="S32" s="3"/>
      <c r="T32" s="3"/>
      <c r="U32" s="3"/>
      <c r="V32" s="3"/>
      <c r="W32" s="7"/>
      <c r="X32" s="7"/>
      <c r="Y32" s="7"/>
      <c r="Z32" s="7"/>
      <c r="AA32" s="7"/>
      <c r="AB32" s="7"/>
      <c r="AC32" s="7"/>
      <c r="AD32" s="7"/>
      <c r="AE32" s="7"/>
      <c r="AF32" s="7"/>
      <c r="AG32" s="7"/>
      <c r="AH32" s="7"/>
      <c r="AI32" s="7"/>
      <c r="AJ32" s="7"/>
      <c r="AK32" s="7"/>
      <c r="AL32" s="7"/>
      <c r="AM32" s="7"/>
      <c r="AN32" s="7"/>
      <c r="AO32" s="7"/>
      <c r="AP32" s="7"/>
      <c r="AQ32" s="3"/>
      <c r="AR32" s="3"/>
    </row>
    <row r="33" spans="1:44" s="1" customFormat="1" ht="45">
      <c r="A33" s="221" t="s">
        <v>674</v>
      </c>
      <c r="B33" s="221" t="s">
        <v>1004</v>
      </c>
      <c r="C33" s="221" t="s">
        <v>660</v>
      </c>
      <c r="D33" s="221" t="s">
        <v>1005</v>
      </c>
      <c r="E33" s="221" t="s">
        <v>660</v>
      </c>
      <c r="F33" s="221" t="s">
        <v>1006</v>
      </c>
      <c r="G33" s="221" t="s">
        <v>660</v>
      </c>
      <c r="H33" s="221" t="s">
        <v>1007</v>
      </c>
      <c r="I33" s="222"/>
      <c r="J33" s="222"/>
      <c r="K33" s="222"/>
      <c r="L33" s="222"/>
      <c r="M33" s="221" t="s">
        <v>1007</v>
      </c>
      <c r="N33" s="221" t="s">
        <v>660</v>
      </c>
      <c r="O33" s="3"/>
      <c r="P33" s="3"/>
      <c r="Q33" s="3"/>
      <c r="R33" s="3"/>
      <c r="S33" s="3"/>
      <c r="T33" s="3"/>
      <c r="U33" s="3"/>
      <c r="V33" s="3"/>
      <c r="W33" s="7"/>
      <c r="X33" s="7"/>
      <c r="Y33" s="7"/>
      <c r="Z33" s="7"/>
      <c r="AA33" s="7"/>
      <c r="AB33" s="7"/>
      <c r="AC33" s="7"/>
      <c r="AD33" s="7"/>
      <c r="AE33" s="7"/>
      <c r="AF33" s="7"/>
      <c r="AG33" s="7"/>
      <c r="AH33" s="7"/>
      <c r="AI33" s="7"/>
      <c r="AJ33" s="7"/>
      <c r="AK33" s="7"/>
      <c r="AL33" s="7"/>
      <c r="AM33" s="7"/>
      <c r="AN33" s="7"/>
      <c r="AO33" s="7"/>
      <c r="AP33" s="7"/>
      <c r="AQ33" s="3"/>
      <c r="AR33" s="3"/>
    </row>
    <row r="34" spans="1:44" s="1" customFormat="1" ht="15">
      <c r="A34" s="226">
        <f>X13</f>
        <v>89838668.807999998</v>
      </c>
      <c r="B34" s="226">
        <f>AC13</f>
        <v>34848791</v>
      </c>
      <c r="C34" s="261">
        <f>A34*B34/100</f>
        <v>31307689930082.109</v>
      </c>
      <c r="D34" s="226">
        <f>AD13</f>
        <v>34848791</v>
      </c>
      <c r="E34" s="262">
        <f>A34*D34/100</f>
        <v>31307689930082.109</v>
      </c>
      <c r="F34" s="226">
        <f>AD13</f>
        <v>34848791</v>
      </c>
      <c r="G34" s="262">
        <f>A34*F34/100</f>
        <v>31307689930082.109</v>
      </c>
      <c r="H34" s="226">
        <f>AE13</f>
        <v>0</v>
      </c>
      <c r="I34" s="227"/>
      <c r="J34" s="227"/>
      <c r="K34" s="227"/>
      <c r="L34" s="227"/>
      <c r="M34" s="229">
        <f>AE11</f>
        <v>0</v>
      </c>
      <c r="N34" s="262">
        <f>A34*H34/100</f>
        <v>0</v>
      </c>
      <c r="O34" s="3"/>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3"/>
      <c r="AR34" s="3"/>
    </row>
    <row r="35" spans="1:44" s="1" customFormat="1">
      <c r="A35" s="213"/>
      <c r="B35" s="213"/>
      <c r="C35" s="213"/>
      <c r="D35" s="213"/>
      <c r="E35" s="213"/>
      <c r="F35" s="213"/>
      <c r="G35" s="213"/>
      <c r="H35" s="213"/>
      <c r="I35" s="214"/>
      <c r="J35" s="214"/>
      <c r="K35" s="214"/>
      <c r="L35" s="214"/>
      <c r="M35" s="215"/>
      <c r="N35" s="213"/>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3"/>
      <c r="AR35" s="3"/>
    </row>
    <row r="36" spans="1:44" s="1" customFormat="1">
      <c r="A36" s="3"/>
      <c r="B36" s="3"/>
      <c r="C36" s="3"/>
      <c r="D36" s="3"/>
      <c r="E36" s="3"/>
      <c r="F36" s="3"/>
      <c r="G36" s="3"/>
      <c r="H36" s="3"/>
      <c r="M36" s="5"/>
      <c r="N36" s="3"/>
      <c r="O36" s="3"/>
      <c r="P36" s="3"/>
      <c r="Q36" s="3"/>
      <c r="R36" s="3"/>
      <c r="S36" s="3"/>
      <c r="T36" s="3"/>
      <c r="U36" s="3"/>
      <c r="V36" s="3"/>
      <c r="W36" s="7"/>
      <c r="X36" s="7"/>
      <c r="Y36" s="7"/>
      <c r="Z36" s="7"/>
      <c r="AA36" s="7"/>
      <c r="AB36" s="7"/>
      <c r="AC36" s="7"/>
      <c r="AD36" s="7"/>
      <c r="AE36" s="7"/>
      <c r="AF36" s="7"/>
      <c r="AG36" s="7"/>
      <c r="AH36" s="7"/>
      <c r="AI36" s="7"/>
      <c r="AJ36" s="7"/>
      <c r="AK36" s="7"/>
      <c r="AL36" s="7"/>
      <c r="AM36" s="7"/>
      <c r="AN36" s="7"/>
      <c r="AO36" s="7"/>
      <c r="AP36" s="7"/>
      <c r="AQ36" s="3"/>
      <c r="AR36" s="3"/>
    </row>
    <row r="37" spans="1:44">
      <c r="I37" s="2"/>
      <c r="M37" s="5"/>
      <c r="N37" s="3"/>
    </row>
    <row r="38" spans="1:44" ht="15">
      <c r="A38" s="1108" t="s">
        <v>1195</v>
      </c>
      <c r="B38" s="1108"/>
      <c r="C38" s="1108"/>
      <c r="D38" s="1108"/>
      <c r="E38" s="1108"/>
      <c r="F38" s="1108"/>
      <c r="G38" s="1108"/>
      <c r="H38" s="1108"/>
      <c r="I38" s="1108"/>
      <c r="J38" s="1108"/>
      <c r="K38" s="1108"/>
      <c r="L38" s="1108"/>
      <c r="M38" s="1108"/>
      <c r="N38" s="1108"/>
      <c r="O38" s="1108"/>
    </row>
    <row r="39" spans="1:44" ht="60">
      <c r="A39" s="223" t="s">
        <v>996</v>
      </c>
      <c r="B39" s="224" t="s">
        <v>997</v>
      </c>
      <c r="C39" s="224" t="s">
        <v>998</v>
      </c>
      <c r="D39" s="224" t="s">
        <v>660</v>
      </c>
      <c r="E39" s="224" t="s">
        <v>999</v>
      </c>
      <c r="F39" s="224" t="s">
        <v>660</v>
      </c>
      <c r="G39" s="224" t="s">
        <v>1000</v>
      </c>
      <c r="H39" s="224" t="s">
        <v>660</v>
      </c>
      <c r="I39" s="224"/>
      <c r="J39" s="225"/>
      <c r="K39" s="225"/>
      <c r="L39" s="225"/>
      <c r="M39" s="225"/>
      <c r="N39" s="224" t="s">
        <v>1001</v>
      </c>
      <c r="O39" s="224" t="s">
        <v>660</v>
      </c>
    </row>
    <row r="40" spans="1:44">
      <c r="A40" s="213" t="s">
        <v>1002</v>
      </c>
      <c r="B40" s="213">
        <f>B30+B21</f>
        <v>12</v>
      </c>
      <c r="C40" s="213">
        <f>C30+C21</f>
        <v>0</v>
      </c>
      <c r="D40" s="220">
        <f>B40*C40/100</f>
        <v>0</v>
      </c>
      <c r="E40" s="213">
        <f>E30+E21</f>
        <v>0</v>
      </c>
      <c r="F40" s="220">
        <f>B40*E40/100</f>
        <v>0</v>
      </c>
      <c r="G40" s="213">
        <f>G30+G21</f>
        <v>0</v>
      </c>
      <c r="H40" s="220">
        <f>B40*G40/100</f>
        <v>0</v>
      </c>
      <c r="I40" s="214"/>
      <c r="J40" s="214"/>
      <c r="K40" s="214"/>
      <c r="L40" s="214"/>
      <c r="M40" s="215"/>
      <c r="N40" s="213">
        <f>N30+N21</f>
        <v>0</v>
      </c>
      <c r="O40" s="220">
        <f>B40*N40/100</f>
        <v>0</v>
      </c>
    </row>
    <row r="41" spans="1:44">
      <c r="I41" s="1"/>
      <c r="J41" s="1"/>
      <c r="K41" s="1"/>
      <c r="L41" s="1"/>
      <c r="M41" s="5"/>
      <c r="N41" s="3"/>
    </row>
    <row r="42" spans="1:44" ht="15">
      <c r="A42" s="1109" t="s">
        <v>1196</v>
      </c>
      <c r="B42" s="1109"/>
      <c r="C42" s="1109"/>
      <c r="D42" s="1109"/>
      <c r="E42" s="1109"/>
      <c r="F42" s="1109"/>
      <c r="G42" s="1109"/>
      <c r="H42" s="1109"/>
      <c r="I42" s="1109"/>
      <c r="J42" s="1109"/>
      <c r="K42" s="1109"/>
      <c r="L42" s="1109"/>
      <c r="M42" s="1109"/>
      <c r="N42" s="1109"/>
    </row>
    <row r="43" spans="1:44" ht="45">
      <c r="A43" s="221" t="s">
        <v>674</v>
      </c>
      <c r="B43" s="221" t="s">
        <v>1004</v>
      </c>
      <c r="C43" s="221" t="s">
        <v>660</v>
      </c>
      <c r="D43" s="221" t="s">
        <v>1005</v>
      </c>
      <c r="E43" s="221" t="s">
        <v>660</v>
      </c>
      <c r="F43" s="221" t="s">
        <v>1006</v>
      </c>
      <c r="G43" s="221" t="s">
        <v>660</v>
      </c>
      <c r="H43" s="221" t="s">
        <v>1007</v>
      </c>
      <c r="I43" s="222"/>
      <c r="J43" s="222"/>
      <c r="K43" s="222"/>
      <c r="L43" s="222"/>
      <c r="M43" s="221" t="s">
        <v>1007</v>
      </c>
      <c r="N43" s="221" t="s">
        <v>660</v>
      </c>
    </row>
    <row r="44" spans="1:44">
      <c r="A44" s="217">
        <f>A34+A25</f>
        <v>119838668.808</v>
      </c>
      <c r="B44" s="217">
        <f>B34+B25</f>
        <v>34848791</v>
      </c>
      <c r="C44" s="218">
        <f>A44*B44/100</f>
        <v>41762327230082.109</v>
      </c>
      <c r="D44" s="217">
        <f>D34+D25</f>
        <v>34848791</v>
      </c>
      <c r="E44" s="220">
        <f>A44*D44/100</f>
        <v>41762327230082.109</v>
      </c>
      <c r="F44" s="217">
        <f>F34+F25</f>
        <v>34848791</v>
      </c>
      <c r="G44" s="220">
        <f>A44*F44/100</f>
        <v>41762327230082.109</v>
      </c>
      <c r="H44" s="217">
        <f>H34+H25</f>
        <v>0</v>
      </c>
      <c r="I44" s="214"/>
      <c r="J44" s="214"/>
      <c r="K44" s="214"/>
      <c r="L44" s="214"/>
      <c r="M44" s="228" t="e">
        <f>#REF!+M34+M25</f>
        <v>#REF!</v>
      </c>
      <c r="N44" s="220">
        <f>A44*H44/100</f>
        <v>0</v>
      </c>
    </row>
    <row r="45" spans="1:44">
      <c r="A45" s="213"/>
      <c r="B45" s="213"/>
      <c r="C45" s="213"/>
      <c r="D45" s="213"/>
      <c r="E45" s="213"/>
      <c r="F45" s="213"/>
      <c r="G45" s="213"/>
      <c r="H45" s="213"/>
      <c r="I45" s="214"/>
      <c r="J45" s="214"/>
      <c r="K45" s="214"/>
      <c r="L45" s="214"/>
      <c r="M45" s="215"/>
      <c r="N45" s="213"/>
    </row>
    <row r="46" spans="1:44">
      <c r="I46" s="2"/>
      <c r="M46" s="5"/>
      <c r="N46" s="3"/>
    </row>
    <row r="47" spans="1:44">
      <c r="A47" s="5"/>
      <c r="J47" s="7"/>
      <c r="K47" s="7"/>
      <c r="L47" s="7"/>
      <c r="M47" s="7"/>
      <c r="N47" s="7"/>
      <c r="O47" s="7"/>
    </row>
    <row r="48" spans="1:44">
      <c r="A48" s="5"/>
      <c r="J48" s="7"/>
      <c r="K48" s="7"/>
      <c r="L48" s="7"/>
      <c r="M48" s="7"/>
      <c r="N48" s="7"/>
      <c r="O48" s="7"/>
    </row>
    <row r="49" spans="1:15">
      <c r="A49" s="5"/>
      <c r="J49" s="7"/>
      <c r="K49" s="7"/>
      <c r="L49" s="7"/>
      <c r="M49" s="7"/>
      <c r="N49" s="7"/>
      <c r="O49" s="7"/>
    </row>
  </sheetData>
  <mergeCells count="48">
    <mergeCell ref="A4:AR4"/>
    <mergeCell ref="A10:N10"/>
    <mergeCell ref="A13:N13"/>
    <mergeCell ref="A19:O19"/>
    <mergeCell ref="A23:N23"/>
    <mergeCell ref="I8:I9"/>
    <mergeCell ref="J8:J9"/>
    <mergeCell ref="K8:K9"/>
    <mergeCell ref="M8:M9"/>
    <mergeCell ref="N8:N9"/>
    <mergeCell ref="A5:AR5"/>
    <mergeCell ref="O6:O7"/>
    <mergeCell ref="P6:P7"/>
    <mergeCell ref="Q6:Q7"/>
    <mergeCell ref="A8:A9"/>
    <mergeCell ref="B8:B9"/>
    <mergeCell ref="G8:G9"/>
    <mergeCell ref="H8:H9"/>
    <mergeCell ref="A28:O28"/>
    <mergeCell ref="G11:G12"/>
    <mergeCell ref="M11:M12"/>
    <mergeCell ref="A11:A12"/>
    <mergeCell ref="B11:B12"/>
    <mergeCell ref="C11:C12"/>
    <mergeCell ref="D11:D12"/>
    <mergeCell ref="E11:E12"/>
    <mergeCell ref="F11:F12"/>
    <mergeCell ref="H6:K6"/>
    <mergeCell ref="L6:L7"/>
    <mergeCell ref="M6:M7"/>
    <mergeCell ref="N6:N7"/>
    <mergeCell ref="AS8:AS12"/>
    <mergeCell ref="A1:AR1"/>
    <mergeCell ref="AT1:AX1"/>
    <mergeCell ref="A2:AR2"/>
    <mergeCell ref="B3:AR3"/>
    <mergeCell ref="A42:N42"/>
    <mergeCell ref="A38:O38"/>
    <mergeCell ref="A32:N32"/>
    <mergeCell ref="AR6:AR7"/>
    <mergeCell ref="R6:R7"/>
    <mergeCell ref="S6:S7"/>
    <mergeCell ref="T6:T7"/>
    <mergeCell ref="U6:X6"/>
    <mergeCell ref="Y6:AE6"/>
    <mergeCell ref="AQ6:AQ7"/>
    <mergeCell ref="A6:B6"/>
    <mergeCell ref="C6:F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EADE-7507-4BEE-81FA-0DCADC9C524C}">
  <dimension ref="A1:AY51"/>
  <sheetViews>
    <sheetView topLeftCell="O4" zoomScale="60" zoomScaleNormal="60" workbookViewId="0">
      <selection activeCell="Y15" sqref="Y15:Y18"/>
    </sheetView>
  </sheetViews>
  <sheetFormatPr defaultColWidth="11.375" defaultRowHeight="14.25"/>
  <cols>
    <col min="1" max="1" width="32.375" style="3" customWidth="1"/>
    <col min="2" max="2" width="28.375" style="3" customWidth="1"/>
    <col min="3" max="3" width="24" style="3" customWidth="1"/>
    <col min="4" max="4" width="30.375" style="3" customWidth="1"/>
    <col min="5" max="5" width="24.375" style="3" customWidth="1"/>
    <col min="6" max="6" width="18.375" style="3" customWidth="1"/>
    <col min="7" max="7" width="20.25" style="3" customWidth="1"/>
    <col min="8" max="8" width="37.375" style="3" customWidth="1"/>
    <col min="9" max="9" width="15" style="3" hidden="1" customWidth="1"/>
    <col min="10" max="11" width="12.75" style="2" hidden="1" customWidth="1"/>
    <col min="12" max="12" width="38.375" style="2" hidden="1" customWidth="1"/>
    <col min="13" max="13" width="57.375" style="2" hidden="1" customWidth="1"/>
    <col min="14" max="14" width="38.125" style="5" customWidth="1"/>
    <col min="15" max="16" width="15" style="3" customWidth="1"/>
    <col min="17" max="17" width="16.25" style="3" customWidth="1"/>
    <col min="18" max="18" width="16.75" style="3" customWidth="1"/>
    <col min="19" max="19" width="16.875" style="3" customWidth="1"/>
    <col min="20" max="20" width="18" style="3" customWidth="1"/>
    <col min="21" max="21" width="20.125" style="3" customWidth="1"/>
    <col min="22" max="22" width="21.375" style="3" customWidth="1"/>
    <col min="23" max="24" width="27.75" style="7" customWidth="1"/>
    <col min="25" max="25" width="25.375" style="7" bestFit="1" customWidth="1"/>
    <col min="26" max="35" width="25.375" style="7" customWidth="1"/>
    <col min="36" max="38" width="34.25" style="7" customWidth="1"/>
    <col min="39" max="43" width="43.875" style="7" customWidth="1"/>
    <col min="44" max="44" width="20" style="3" customWidth="1"/>
    <col min="45" max="45" width="20.125" style="3" customWidth="1"/>
    <col min="46" max="46" width="30.25" style="2" hidden="1" customWidth="1"/>
    <col min="47" max="48" width="17.375" style="2" customWidth="1"/>
    <col min="49" max="49" width="21.125" style="2" customWidth="1"/>
    <col min="50" max="50" width="16.75" style="2" customWidth="1"/>
    <col min="51" max="51" width="20.125" style="2" customWidth="1"/>
    <col min="52" max="16384" width="11.375" style="2"/>
  </cols>
  <sheetData>
    <row r="1" spans="1:51" s="1" customFormat="1" ht="30.75" customHeight="1" thickTop="1" thickBot="1">
      <c r="A1" s="1094"/>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9"/>
      <c r="AU1" s="1095" t="s">
        <v>1</v>
      </c>
      <c r="AV1" s="1095"/>
      <c r="AW1" s="1095"/>
      <c r="AX1" s="1095"/>
      <c r="AY1" s="1096"/>
    </row>
    <row r="2" spans="1:51" s="1" customFormat="1" ht="27.95" customHeight="1" thickTop="1" thickBot="1">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19"/>
      <c r="AU2" s="206" t="s">
        <v>3</v>
      </c>
      <c r="AV2" s="18" t="s">
        <v>4</v>
      </c>
      <c r="AW2" s="16" t="s">
        <v>5</v>
      </c>
      <c r="AX2" s="16" t="s">
        <v>6</v>
      </c>
      <c r="AY2" s="16" t="s">
        <v>7</v>
      </c>
    </row>
    <row r="3" spans="1:51" s="1" customFormat="1" ht="25.5" customHeight="1" thickTop="1" thickBot="1">
      <c r="A3" s="209"/>
      <c r="B3" s="1147" t="s">
        <v>1197</v>
      </c>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c r="AI3" s="1148"/>
      <c r="AJ3" s="1148"/>
      <c r="AK3" s="1148"/>
      <c r="AL3" s="1148"/>
      <c r="AM3" s="1148"/>
      <c r="AN3" s="1148"/>
      <c r="AO3" s="1148"/>
      <c r="AP3" s="1148"/>
      <c r="AQ3" s="1148"/>
      <c r="AR3" s="1148"/>
      <c r="AS3" s="1149"/>
      <c r="AT3" s="19"/>
      <c r="AU3" s="1280"/>
      <c r="AV3" s="1258"/>
      <c r="AW3" s="1259"/>
      <c r="AX3" s="1260"/>
      <c r="AY3" s="17"/>
    </row>
    <row r="4" spans="1:51" s="1" customFormat="1" ht="27.95" customHeight="1" thickTop="1" thickBot="1">
      <c r="A4" s="1150" t="s">
        <v>1198</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2"/>
      <c r="AT4" s="19"/>
      <c r="AU4" s="1280"/>
      <c r="AV4" s="1258"/>
      <c r="AW4" s="1259"/>
      <c r="AX4" s="1260"/>
      <c r="AY4" s="17"/>
    </row>
    <row r="5" spans="1:51" s="1" customFormat="1" ht="27.95" customHeight="1" thickTop="1" thickBot="1">
      <c r="A5" s="853"/>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132"/>
      <c r="AU5" s="1280"/>
      <c r="AV5" s="1258"/>
      <c r="AW5" s="1259"/>
      <c r="AX5" s="1260"/>
      <c r="AY5" s="17"/>
    </row>
    <row r="6" spans="1:51" ht="27.95" customHeight="1" thickBot="1">
      <c r="A6" s="856"/>
      <c r="B6" s="857"/>
      <c r="C6" s="858" t="s">
        <v>10</v>
      </c>
      <c r="D6" s="856"/>
      <c r="E6" s="856"/>
      <c r="F6" s="857"/>
      <c r="G6" s="21"/>
      <c r="H6" s="823" t="s">
        <v>11</v>
      </c>
      <c r="I6" s="823"/>
      <c r="J6" s="823"/>
      <c r="K6" s="823"/>
      <c r="L6" s="855" t="s">
        <v>12</v>
      </c>
      <c r="M6" s="855" t="s">
        <v>13</v>
      </c>
      <c r="N6" s="1145" t="s">
        <v>14</v>
      </c>
      <c r="O6" s="826" t="s">
        <v>971</v>
      </c>
      <c r="P6" s="826" t="s">
        <v>15</v>
      </c>
      <c r="Q6" s="826" t="s">
        <v>17</v>
      </c>
      <c r="R6" s="826" t="s">
        <v>18</v>
      </c>
      <c r="S6" s="826" t="s">
        <v>19</v>
      </c>
      <c r="T6" s="826" t="s">
        <v>20</v>
      </c>
      <c r="U6" s="825" t="s">
        <v>21</v>
      </c>
      <c r="V6" s="825"/>
      <c r="W6" s="825"/>
      <c r="X6" s="825"/>
      <c r="Y6" s="825"/>
      <c r="Z6" s="863" t="s">
        <v>22</v>
      </c>
      <c r="AA6" s="864"/>
      <c r="AB6" s="864"/>
      <c r="AC6" s="864"/>
      <c r="AD6" s="864"/>
      <c r="AE6" s="864"/>
      <c r="AF6" s="865"/>
      <c r="AG6" s="203"/>
      <c r="AH6" s="203"/>
      <c r="AI6" s="203"/>
      <c r="AJ6" s="203"/>
      <c r="AK6" s="203"/>
      <c r="AL6" s="203"/>
      <c r="AM6" s="203"/>
      <c r="AN6" s="203"/>
      <c r="AO6" s="203"/>
      <c r="AP6" s="203"/>
      <c r="AQ6" s="203"/>
      <c r="AR6" s="826" t="s">
        <v>23</v>
      </c>
      <c r="AS6" s="820" t="s">
        <v>24</v>
      </c>
      <c r="AT6" s="133"/>
      <c r="AU6" s="18" t="s">
        <v>25</v>
      </c>
      <c r="AV6" s="15" t="s">
        <v>26</v>
      </c>
      <c r="AW6" s="16" t="s">
        <v>27</v>
      </c>
      <c r="AX6" s="16" t="s">
        <v>28</v>
      </c>
      <c r="AY6" s="16" t="s">
        <v>29</v>
      </c>
    </row>
    <row r="7" spans="1:51" ht="68.25" customHeight="1" thickTop="1" thickBot="1">
      <c r="A7" s="20" t="s">
        <v>32</v>
      </c>
      <c r="B7" s="20" t="s">
        <v>33</v>
      </c>
      <c r="C7" s="20" t="s">
        <v>34</v>
      </c>
      <c r="D7" s="20" t="s">
        <v>35</v>
      </c>
      <c r="E7" s="20" t="s">
        <v>36</v>
      </c>
      <c r="F7" s="20" t="s">
        <v>972</v>
      </c>
      <c r="G7" s="20" t="s">
        <v>38</v>
      </c>
      <c r="H7" s="22" t="s">
        <v>39</v>
      </c>
      <c r="I7" s="20" t="s">
        <v>35</v>
      </c>
      <c r="J7" s="20" t="s">
        <v>36</v>
      </c>
      <c r="K7" s="20" t="s">
        <v>972</v>
      </c>
      <c r="L7" s="855"/>
      <c r="M7" s="855"/>
      <c r="N7" s="1146"/>
      <c r="O7" s="827"/>
      <c r="P7" s="827"/>
      <c r="Q7" s="827"/>
      <c r="R7" s="827"/>
      <c r="S7" s="827"/>
      <c r="T7" s="827"/>
      <c r="U7" s="20" t="s">
        <v>41</v>
      </c>
      <c r="V7" s="20" t="s">
        <v>42</v>
      </c>
      <c r="W7" s="4" t="s">
        <v>43</v>
      </c>
      <c r="X7" s="4" t="s">
        <v>1199</v>
      </c>
      <c r="Y7" s="4" t="s">
        <v>44</v>
      </c>
      <c r="Z7" s="4" t="s">
        <v>45</v>
      </c>
      <c r="AA7" s="4" t="s">
        <v>46</v>
      </c>
      <c r="AB7" s="4" t="s">
        <v>47</v>
      </c>
      <c r="AC7" s="4" t="s">
        <v>48</v>
      </c>
      <c r="AD7" s="4" t="s">
        <v>49</v>
      </c>
      <c r="AE7" s="4" t="s">
        <v>50</v>
      </c>
      <c r="AF7" s="4" t="s">
        <v>51</v>
      </c>
      <c r="AG7" s="205" t="s">
        <v>52</v>
      </c>
      <c r="AH7" s="205" t="s">
        <v>53</v>
      </c>
      <c r="AI7" s="205" t="s">
        <v>54</v>
      </c>
      <c r="AJ7" s="205" t="s">
        <v>55</v>
      </c>
      <c r="AK7" s="205" t="s">
        <v>56</v>
      </c>
      <c r="AL7" s="205" t="s">
        <v>58</v>
      </c>
      <c r="AM7" s="205" t="s">
        <v>59</v>
      </c>
      <c r="AN7" s="205" t="s">
        <v>60</v>
      </c>
      <c r="AO7" s="205" t="s">
        <v>61</v>
      </c>
      <c r="AP7" s="205" t="s">
        <v>62</v>
      </c>
      <c r="AQ7" s="205" t="s">
        <v>63</v>
      </c>
      <c r="AR7" s="827"/>
      <c r="AS7" s="821" t="s">
        <v>24</v>
      </c>
      <c r="AT7" s="133"/>
    </row>
    <row r="8" spans="1:51" s="1" customFormat="1" ht="43.5" thickBot="1">
      <c r="A8" s="766" t="s">
        <v>1200</v>
      </c>
      <c r="B8" s="766" t="s">
        <v>1201</v>
      </c>
      <c r="C8" s="766" t="s">
        <v>1202</v>
      </c>
      <c r="D8" s="766" t="s">
        <v>93</v>
      </c>
      <c r="E8" s="766">
        <v>100</v>
      </c>
      <c r="F8" s="766">
        <v>100</v>
      </c>
      <c r="G8" s="766" t="s">
        <v>450</v>
      </c>
      <c r="H8" s="766" t="s">
        <v>949</v>
      </c>
      <c r="I8" s="766" t="s">
        <v>340</v>
      </c>
      <c r="J8" s="1165">
        <v>1</v>
      </c>
      <c r="K8" s="1165">
        <v>1</v>
      </c>
      <c r="L8" s="1285"/>
      <c r="M8" s="1202" t="s">
        <v>452</v>
      </c>
      <c r="N8" s="170" t="s">
        <v>1203</v>
      </c>
      <c r="O8" s="58">
        <v>1</v>
      </c>
      <c r="P8" s="58" t="s">
        <v>72</v>
      </c>
      <c r="Q8" s="58">
        <v>1</v>
      </c>
      <c r="R8" s="58">
        <v>0</v>
      </c>
      <c r="S8" s="58">
        <v>0</v>
      </c>
      <c r="T8" s="58">
        <v>0</v>
      </c>
      <c r="U8" s="766" t="s">
        <v>1204</v>
      </c>
      <c r="V8" s="766"/>
      <c r="W8" s="1199">
        <f>137762373+331014873</f>
        <v>468777246</v>
      </c>
      <c r="X8" s="910"/>
      <c r="Y8" s="1199">
        <f>+W8+X8</f>
        <v>468777246</v>
      </c>
      <c r="Z8" s="59"/>
      <c r="AA8" s="59"/>
      <c r="AB8" s="59"/>
      <c r="AC8" s="59"/>
      <c r="AD8" s="59">
        <f>(69919112+29895215)/5</f>
        <v>19962865.399999999</v>
      </c>
      <c r="AE8" s="59">
        <v>14923578</v>
      </c>
      <c r="AF8" s="59"/>
      <c r="AG8" s="186"/>
      <c r="AH8" s="186"/>
      <c r="AI8" s="186"/>
      <c r="AJ8" s="186"/>
      <c r="AK8" s="186"/>
      <c r="AL8" s="186"/>
      <c r="AM8" s="186"/>
      <c r="AN8" s="186"/>
      <c r="AO8" s="186"/>
      <c r="AP8" s="186"/>
      <c r="AQ8" s="186"/>
      <c r="AR8" s="167" t="s">
        <v>454</v>
      </c>
      <c r="AS8" s="167" t="s">
        <v>454</v>
      </c>
      <c r="AT8" s="788" t="s">
        <v>1205</v>
      </c>
    </row>
    <row r="9" spans="1:51" s="1" customFormat="1" ht="43.5" thickBot="1">
      <c r="A9" s="758"/>
      <c r="B9" s="758"/>
      <c r="C9" s="758"/>
      <c r="D9" s="758"/>
      <c r="E9" s="758"/>
      <c r="F9" s="758"/>
      <c r="G9" s="758"/>
      <c r="H9" s="758"/>
      <c r="I9" s="758"/>
      <c r="J9" s="750"/>
      <c r="K9" s="750"/>
      <c r="L9" s="1270"/>
      <c r="M9" s="791"/>
      <c r="N9" s="170" t="s">
        <v>1206</v>
      </c>
      <c r="O9" s="58">
        <v>1</v>
      </c>
      <c r="P9" s="58" t="s">
        <v>72</v>
      </c>
      <c r="Q9" s="58">
        <v>1</v>
      </c>
      <c r="R9" s="58">
        <v>0</v>
      </c>
      <c r="S9" s="58">
        <v>0</v>
      </c>
      <c r="T9" s="58">
        <v>0</v>
      </c>
      <c r="U9" s="758"/>
      <c r="V9" s="758"/>
      <c r="W9" s="911"/>
      <c r="X9" s="911"/>
      <c r="Y9" s="911"/>
      <c r="Z9" s="59"/>
      <c r="AA9" s="59"/>
      <c r="AB9" s="59"/>
      <c r="AC9" s="59"/>
      <c r="AD9" s="59">
        <f t="shared" ref="AD9:AD12" si="0">(69919112+29895215)/5</f>
        <v>19962865.399999999</v>
      </c>
      <c r="AE9" s="59">
        <v>14923578</v>
      </c>
      <c r="AF9" s="59"/>
      <c r="AG9" s="186"/>
      <c r="AH9" s="186"/>
      <c r="AI9" s="186"/>
      <c r="AJ9" s="186"/>
      <c r="AK9" s="186"/>
      <c r="AL9" s="186"/>
      <c r="AM9" s="186"/>
      <c r="AN9" s="186"/>
      <c r="AO9" s="186"/>
      <c r="AP9" s="186"/>
      <c r="AQ9" s="186"/>
      <c r="AR9" s="167" t="s">
        <v>454</v>
      </c>
      <c r="AS9" s="167" t="s">
        <v>454</v>
      </c>
      <c r="AT9" s="789"/>
    </row>
    <row r="10" spans="1:51" s="1" customFormat="1" ht="43.5" thickBot="1">
      <c r="A10" s="758"/>
      <c r="B10" s="758"/>
      <c r="C10" s="758"/>
      <c r="D10" s="758"/>
      <c r="E10" s="758"/>
      <c r="F10" s="758"/>
      <c r="G10" s="758"/>
      <c r="H10" s="758"/>
      <c r="I10" s="758"/>
      <c r="J10" s="750"/>
      <c r="K10" s="750"/>
      <c r="L10" s="1270"/>
      <c r="M10" s="791"/>
      <c r="N10" s="170" t="s">
        <v>1207</v>
      </c>
      <c r="O10" s="58">
        <v>1</v>
      </c>
      <c r="P10" s="58" t="s">
        <v>72</v>
      </c>
      <c r="Q10" s="58">
        <v>0</v>
      </c>
      <c r="R10" s="58">
        <v>1</v>
      </c>
      <c r="S10" s="58">
        <v>0</v>
      </c>
      <c r="T10" s="58">
        <v>0</v>
      </c>
      <c r="U10" s="758"/>
      <c r="V10" s="758"/>
      <c r="W10" s="911"/>
      <c r="X10" s="911"/>
      <c r="Y10" s="911"/>
      <c r="Z10" s="59"/>
      <c r="AA10" s="59"/>
      <c r="AB10" s="59"/>
      <c r="AC10" s="59"/>
      <c r="AD10" s="59">
        <f t="shared" si="0"/>
        <v>19962865.399999999</v>
      </c>
      <c r="AE10" s="59">
        <v>14923578</v>
      </c>
      <c r="AF10" s="59"/>
      <c r="AG10" s="186"/>
      <c r="AH10" s="186"/>
      <c r="AI10" s="186"/>
      <c r="AJ10" s="186"/>
      <c r="AK10" s="186"/>
      <c r="AL10" s="186"/>
      <c r="AM10" s="186"/>
      <c r="AN10" s="186"/>
      <c r="AO10" s="186"/>
      <c r="AP10" s="186"/>
      <c r="AQ10" s="186"/>
      <c r="AR10" s="167" t="s">
        <v>454</v>
      </c>
      <c r="AS10" s="167" t="s">
        <v>454</v>
      </c>
      <c r="AT10" s="789"/>
    </row>
    <row r="11" spans="1:51" s="1" customFormat="1" ht="43.5" thickBot="1">
      <c r="A11" s="758"/>
      <c r="B11" s="758"/>
      <c r="C11" s="758"/>
      <c r="D11" s="758"/>
      <c r="E11" s="758"/>
      <c r="F11" s="758"/>
      <c r="G11" s="758"/>
      <c r="H11" s="758"/>
      <c r="I11" s="758"/>
      <c r="J11" s="750"/>
      <c r="K11" s="750"/>
      <c r="L11" s="1270"/>
      <c r="M11" s="791"/>
      <c r="N11" s="170" t="s">
        <v>1208</v>
      </c>
      <c r="O11" s="58">
        <v>1</v>
      </c>
      <c r="P11" s="58" t="s">
        <v>72</v>
      </c>
      <c r="Q11" s="58">
        <v>0</v>
      </c>
      <c r="R11" s="58">
        <v>0</v>
      </c>
      <c r="S11" s="58">
        <v>1</v>
      </c>
      <c r="T11" s="58">
        <v>0</v>
      </c>
      <c r="U11" s="758"/>
      <c r="V11" s="758"/>
      <c r="W11" s="911"/>
      <c r="X11" s="911"/>
      <c r="Y11" s="911"/>
      <c r="Z11" s="59"/>
      <c r="AA11" s="59"/>
      <c r="AB11" s="59"/>
      <c r="AC11" s="59"/>
      <c r="AD11" s="59">
        <f t="shared" si="0"/>
        <v>19962865.399999999</v>
      </c>
      <c r="AE11" s="59">
        <v>14923578</v>
      </c>
      <c r="AF11" s="59"/>
      <c r="AG11" s="186"/>
      <c r="AH11" s="186"/>
      <c r="AI11" s="186"/>
      <c r="AJ11" s="186"/>
      <c r="AK11" s="186"/>
      <c r="AL11" s="186"/>
      <c r="AM11" s="186"/>
      <c r="AN11" s="186"/>
      <c r="AO11" s="186"/>
      <c r="AP11" s="186"/>
      <c r="AQ11" s="186"/>
      <c r="AR11" s="167" t="s">
        <v>454</v>
      </c>
      <c r="AS11" s="167" t="s">
        <v>454</v>
      </c>
      <c r="AT11" s="789"/>
    </row>
    <row r="12" spans="1:51" s="1" customFormat="1" ht="57.75" thickBot="1">
      <c r="A12" s="758"/>
      <c r="B12" s="758"/>
      <c r="C12" s="758"/>
      <c r="D12" s="758"/>
      <c r="E12" s="758"/>
      <c r="F12" s="758"/>
      <c r="G12" s="758"/>
      <c r="H12" s="758"/>
      <c r="I12" s="758"/>
      <c r="J12" s="750"/>
      <c r="K12" s="750"/>
      <c r="L12" s="1270"/>
      <c r="M12" s="916"/>
      <c r="N12" s="170" t="s">
        <v>1209</v>
      </c>
      <c r="O12" s="58">
        <v>100</v>
      </c>
      <c r="P12" s="58" t="s">
        <v>93</v>
      </c>
      <c r="Q12" s="58">
        <v>100</v>
      </c>
      <c r="R12" s="58">
        <v>0</v>
      </c>
      <c r="S12" s="58">
        <v>0</v>
      </c>
      <c r="T12" s="58">
        <v>0</v>
      </c>
      <c r="U12" s="805"/>
      <c r="V12" s="759"/>
      <c r="W12" s="912"/>
      <c r="X12" s="912"/>
      <c r="Y12" s="1200"/>
      <c r="Z12" s="59"/>
      <c r="AA12" s="59"/>
      <c r="AB12" s="59"/>
      <c r="AC12" s="59"/>
      <c r="AD12" s="59">
        <f t="shared" si="0"/>
        <v>19962865.399999999</v>
      </c>
      <c r="AE12" s="59">
        <v>14923578</v>
      </c>
      <c r="AF12" s="59"/>
      <c r="AG12" s="186"/>
      <c r="AH12" s="186"/>
      <c r="AI12" s="186"/>
      <c r="AJ12" s="186"/>
      <c r="AK12" s="186"/>
      <c r="AL12" s="186"/>
      <c r="AM12" s="186"/>
      <c r="AN12" s="186"/>
      <c r="AO12" s="186"/>
      <c r="AP12" s="186"/>
      <c r="AQ12" s="186"/>
      <c r="AR12" s="167" t="s">
        <v>454</v>
      </c>
      <c r="AS12" s="167" t="s">
        <v>454</v>
      </c>
      <c r="AT12" s="789"/>
    </row>
    <row r="13" spans="1:51" s="1" customFormat="1" ht="43.5" thickBot="1">
      <c r="A13" s="758"/>
      <c r="B13" s="758"/>
      <c r="C13" s="758"/>
      <c r="D13" s="758"/>
      <c r="E13" s="758"/>
      <c r="F13" s="758"/>
      <c r="G13" s="758"/>
      <c r="H13" s="758"/>
      <c r="I13" s="758"/>
      <c r="J13" s="750"/>
      <c r="K13" s="750"/>
      <c r="L13" s="1270"/>
      <c r="M13" s="915" t="s">
        <v>456</v>
      </c>
      <c r="N13" s="170" t="s">
        <v>457</v>
      </c>
      <c r="O13" s="58">
        <v>1</v>
      </c>
      <c r="P13" s="58" t="s">
        <v>142</v>
      </c>
      <c r="Q13" s="58">
        <v>0</v>
      </c>
      <c r="R13" s="58">
        <v>0</v>
      </c>
      <c r="S13" s="58">
        <v>0</v>
      </c>
      <c r="T13" s="58">
        <v>1</v>
      </c>
      <c r="U13" s="766" t="s">
        <v>1204</v>
      </c>
      <c r="V13" s="760"/>
      <c r="W13" s="910">
        <v>168000000</v>
      </c>
      <c r="X13" s="910"/>
      <c r="Y13" s="1199">
        <f>W13+X13</f>
        <v>168000000</v>
      </c>
      <c r="Z13" s="59"/>
      <c r="AA13" s="59"/>
      <c r="AB13" s="59"/>
      <c r="AC13" s="59"/>
      <c r="AD13" s="59">
        <v>8400000</v>
      </c>
      <c r="AE13" s="59">
        <v>0</v>
      </c>
      <c r="AF13" s="59"/>
      <c r="AG13" s="186"/>
      <c r="AH13" s="186"/>
      <c r="AI13" s="186"/>
      <c r="AJ13" s="186"/>
      <c r="AK13" s="186"/>
      <c r="AL13" s="186"/>
      <c r="AM13" s="186"/>
      <c r="AN13" s="186"/>
      <c r="AO13" s="186"/>
      <c r="AP13" s="186"/>
      <c r="AQ13" s="186"/>
      <c r="AR13" s="167" t="s">
        <v>454</v>
      </c>
      <c r="AS13" s="167" t="s">
        <v>454</v>
      </c>
      <c r="AT13" s="789"/>
    </row>
    <row r="14" spans="1:51" s="1" customFormat="1" ht="43.5" thickBot="1">
      <c r="A14" s="758"/>
      <c r="B14" s="758"/>
      <c r="C14" s="758"/>
      <c r="D14" s="758"/>
      <c r="E14" s="758"/>
      <c r="F14" s="758"/>
      <c r="G14" s="758"/>
      <c r="H14" s="759"/>
      <c r="I14" s="759"/>
      <c r="J14" s="757"/>
      <c r="K14" s="757"/>
      <c r="L14" s="1270"/>
      <c r="M14" s="916"/>
      <c r="N14" s="153" t="s">
        <v>1210</v>
      </c>
      <c r="O14" s="58">
        <v>1</v>
      </c>
      <c r="P14" s="58" t="s">
        <v>142</v>
      </c>
      <c r="Q14" s="58">
        <v>0</v>
      </c>
      <c r="R14" s="58">
        <v>0</v>
      </c>
      <c r="S14" s="58">
        <v>1</v>
      </c>
      <c r="T14" s="58">
        <v>0</v>
      </c>
      <c r="U14" s="759"/>
      <c r="V14" s="759"/>
      <c r="W14" s="912"/>
      <c r="X14" s="912"/>
      <c r="Y14" s="1200"/>
      <c r="Z14" s="59"/>
      <c r="AA14" s="59"/>
      <c r="AB14" s="59"/>
      <c r="AC14" s="59"/>
      <c r="AD14" s="59">
        <v>8400000</v>
      </c>
      <c r="AE14" s="59">
        <v>0</v>
      </c>
      <c r="AF14" s="59"/>
      <c r="AG14" s="186"/>
      <c r="AH14" s="186"/>
      <c r="AI14" s="186"/>
      <c r="AJ14" s="186"/>
      <c r="AK14" s="186"/>
      <c r="AL14" s="186"/>
      <c r="AM14" s="186"/>
      <c r="AN14" s="186"/>
      <c r="AO14" s="186"/>
      <c r="AP14" s="186"/>
      <c r="AQ14" s="186"/>
      <c r="AR14" s="167" t="s">
        <v>454</v>
      </c>
      <c r="AS14" s="167" t="s">
        <v>454</v>
      </c>
      <c r="AT14" s="789"/>
    </row>
    <row r="15" spans="1:51" s="1" customFormat="1" ht="43.5" thickBot="1">
      <c r="A15" s="758"/>
      <c r="B15" s="758"/>
      <c r="C15" s="758"/>
      <c r="D15" s="758"/>
      <c r="E15" s="758"/>
      <c r="F15" s="758"/>
      <c r="G15" s="758"/>
      <c r="H15" s="760" t="s">
        <v>1211</v>
      </c>
      <c r="I15" s="760" t="s">
        <v>72</v>
      </c>
      <c r="J15" s="749" t="s">
        <v>69</v>
      </c>
      <c r="K15" s="749">
        <v>1</v>
      </c>
      <c r="L15" s="915"/>
      <c r="M15" s="749" t="s">
        <v>1212</v>
      </c>
      <c r="N15" s="170" t="s">
        <v>1213</v>
      </c>
      <c r="O15" s="58">
        <v>1</v>
      </c>
      <c r="P15" s="58" t="s">
        <v>72</v>
      </c>
      <c r="Q15" s="58">
        <v>0</v>
      </c>
      <c r="R15" s="58">
        <v>1</v>
      </c>
      <c r="S15" s="58">
        <v>0</v>
      </c>
      <c r="T15" s="58">
        <v>0</v>
      </c>
      <c r="U15" s="760"/>
      <c r="V15" s="760"/>
      <c r="W15" s="910"/>
      <c r="X15" s="185"/>
      <c r="Y15" s="1199">
        <f>W18</f>
        <v>0</v>
      </c>
      <c r="Z15" s="59"/>
      <c r="AA15" s="59"/>
      <c r="AB15" s="59"/>
      <c r="AC15" s="59"/>
      <c r="AD15" s="59"/>
      <c r="AE15" s="59"/>
      <c r="AF15" s="59"/>
      <c r="AG15" s="186"/>
      <c r="AH15" s="186"/>
      <c r="AI15" s="186"/>
      <c r="AJ15" s="186"/>
      <c r="AK15" s="186"/>
      <c r="AL15" s="186"/>
      <c r="AM15" s="186"/>
      <c r="AN15" s="186"/>
      <c r="AO15" s="186"/>
      <c r="AP15" s="186"/>
      <c r="AQ15" s="186"/>
      <c r="AR15" s="167" t="s">
        <v>454</v>
      </c>
      <c r="AS15" s="167" t="s">
        <v>454</v>
      </c>
      <c r="AT15" s="789"/>
    </row>
    <row r="16" spans="1:51" s="1" customFormat="1" ht="43.5" thickBot="1">
      <c r="A16" s="758"/>
      <c r="B16" s="758"/>
      <c r="C16" s="758"/>
      <c r="D16" s="758"/>
      <c r="E16" s="758"/>
      <c r="F16" s="758"/>
      <c r="G16" s="758"/>
      <c r="H16" s="758"/>
      <c r="I16" s="758"/>
      <c r="J16" s="750"/>
      <c r="K16" s="750"/>
      <c r="L16" s="791"/>
      <c r="M16" s="750"/>
      <c r="N16" s="170" t="s">
        <v>1214</v>
      </c>
      <c r="O16" s="58">
        <v>1</v>
      </c>
      <c r="P16" s="58" t="s">
        <v>72</v>
      </c>
      <c r="Q16" s="58">
        <v>0</v>
      </c>
      <c r="R16" s="58">
        <v>1</v>
      </c>
      <c r="S16" s="58">
        <v>0</v>
      </c>
      <c r="T16" s="58">
        <v>0</v>
      </c>
      <c r="U16" s="758"/>
      <c r="V16" s="758"/>
      <c r="W16" s="911"/>
      <c r="X16" s="185"/>
      <c r="Y16" s="911"/>
      <c r="Z16" s="59"/>
      <c r="AA16" s="59"/>
      <c r="AB16" s="59"/>
      <c r="AC16" s="59"/>
      <c r="AD16" s="59"/>
      <c r="AE16" s="59"/>
      <c r="AF16" s="59"/>
      <c r="AG16" s="186"/>
      <c r="AH16" s="186"/>
      <c r="AI16" s="186"/>
      <c r="AJ16" s="186"/>
      <c r="AK16" s="186"/>
      <c r="AL16" s="186"/>
      <c r="AM16" s="186"/>
      <c r="AN16" s="186"/>
      <c r="AO16" s="186"/>
      <c r="AP16" s="186"/>
      <c r="AQ16" s="186"/>
      <c r="AR16" s="167" t="s">
        <v>454</v>
      </c>
      <c r="AS16" s="167" t="s">
        <v>454</v>
      </c>
      <c r="AT16" s="789"/>
    </row>
    <row r="17" spans="1:46" s="1" customFormat="1" ht="43.5" thickBot="1">
      <c r="A17" s="758"/>
      <c r="B17" s="758"/>
      <c r="C17" s="758"/>
      <c r="D17" s="758"/>
      <c r="E17" s="758"/>
      <c r="F17" s="758"/>
      <c r="G17" s="758"/>
      <c r="H17" s="758"/>
      <c r="I17" s="758"/>
      <c r="J17" s="750"/>
      <c r="K17" s="750"/>
      <c r="L17" s="791"/>
      <c r="M17" s="750"/>
      <c r="N17" s="170" t="s">
        <v>1215</v>
      </c>
      <c r="O17" s="58">
        <v>2</v>
      </c>
      <c r="P17" s="58" t="s">
        <v>72</v>
      </c>
      <c r="Q17" s="58">
        <v>0</v>
      </c>
      <c r="R17" s="58">
        <v>1</v>
      </c>
      <c r="S17" s="58">
        <v>1</v>
      </c>
      <c r="T17" s="58">
        <v>0</v>
      </c>
      <c r="U17" s="758"/>
      <c r="V17" s="758"/>
      <c r="W17" s="911"/>
      <c r="X17" s="185"/>
      <c r="Y17" s="911"/>
      <c r="Z17" s="59"/>
      <c r="AA17" s="59"/>
      <c r="AB17" s="59"/>
      <c r="AC17" s="59"/>
      <c r="AD17" s="59"/>
      <c r="AE17" s="59"/>
      <c r="AF17" s="59"/>
      <c r="AG17" s="186"/>
      <c r="AH17" s="186"/>
      <c r="AI17" s="186"/>
      <c r="AJ17" s="186"/>
      <c r="AK17" s="186"/>
      <c r="AL17" s="186"/>
      <c r="AM17" s="186"/>
      <c r="AN17" s="186"/>
      <c r="AO17" s="186"/>
      <c r="AP17" s="186"/>
      <c r="AQ17" s="186"/>
      <c r="AR17" s="167" t="s">
        <v>454</v>
      </c>
      <c r="AS17" s="167" t="s">
        <v>454</v>
      </c>
      <c r="AT17" s="789"/>
    </row>
    <row r="18" spans="1:46" s="1" customFormat="1" ht="52.5" customHeight="1" thickBot="1">
      <c r="A18" s="758"/>
      <c r="B18" s="758"/>
      <c r="C18" s="758"/>
      <c r="D18" s="758"/>
      <c r="E18" s="758"/>
      <c r="F18" s="758"/>
      <c r="G18" s="758"/>
      <c r="H18" s="759"/>
      <c r="I18" s="759"/>
      <c r="J18" s="757"/>
      <c r="K18" s="757"/>
      <c r="L18" s="916"/>
      <c r="M18" s="757"/>
      <c r="N18" s="170" t="s">
        <v>1216</v>
      </c>
      <c r="O18" s="58">
        <v>1</v>
      </c>
      <c r="P18" s="58" t="s">
        <v>72</v>
      </c>
      <c r="Q18" s="58">
        <v>0</v>
      </c>
      <c r="R18" s="58">
        <v>0</v>
      </c>
      <c r="S18" s="58">
        <v>0</v>
      </c>
      <c r="T18" s="58">
        <v>1</v>
      </c>
      <c r="U18" s="759"/>
      <c r="V18" s="759"/>
      <c r="W18" s="912"/>
      <c r="X18" s="185"/>
      <c r="Y18" s="1200"/>
      <c r="Z18" s="59"/>
      <c r="AA18" s="59"/>
      <c r="AB18" s="59"/>
      <c r="AC18" s="59"/>
      <c r="AD18" s="59"/>
      <c r="AE18" s="59"/>
      <c r="AF18" s="59"/>
      <c r="AG18" s="186"/>
      <c r="AH18" s="186"/>
      <c r="AI18" s="186"/>
      <c r="AJ18" s="186"/>
      <c r="AK18" s="186"/>
      <c r="AL18" s="186"/>
      <c r="AM18" s="186"/>
      <c r="AN18" s="186"/>
      <c r="AO18" s="186"/>
      <c r="AP18" s="186"/>
      <c r="AQ18" s="186"/>
      <c r="AR18" s="167" t="s">
        <v>454</v>
      </c>
      <c r="AS18" s="167" t="s">
        <v>454</v>
      </c>
      <c r="AT18" s="789"/>
    </row>
    <row r="19" spans="1:46" s="1" customFormat="1" ht="43.5" thickBot="1">
      <c r="A19" s="758"/>
      <c r="B19" s="758"/>
      <c r="C19" s="758"/>
      <c r="D19" s="758"/>
      <c r="E19" s="758"/>
      <c r="F19" s="758"/>
      <c r="G19" s="758"/>
      <c r="H19" s="760" t="s">
        <v>459</v>
      </c>
      <c r="I19" s="760" t="s">
        <v>93</v>
      </c>
      <c r="J19" s="749">
        <v>100</v>
      </c>
      <c r="K19" s="749">
        <v>100</v>
      </c>
      <c r="L19" s="1271"/>
      <c r="M19" s="760" t="s">
        <v>460</v>
      </c>
      <c r="N19" s="170" t="s">
        <v>1217</v>
      </c>
      <c r="O19" s="58">
        <v>2</v>
      </c>
      <c r="P19" s="58" t="s">
        <v>72</v>
      </c>
      <c r="Q19" s="58">
        <v>1</v>
      </c>
      <c r="R19" s="58">
        <v>0</v>
      </c>
      <c r="S19" s="58">
        <v>1</v>
      </c>
      <c r="T19" s="58">
        <v>0</v>
      </c>
      <c r="U19" s="760"/>
      <c r="V19" s="760"/>
      <c r="W19" s="910"/>
      <c r="X19" s="185"/>
      <c r="Y19" s="1199">
        <f>W23</f>
        <v>0</v>
      </c>
      <c r="Z19" s="59"/>
      <c r="AA19" s="59"/>
      <c r="AB19" s="59"/>
      <c r="AC19" s="59"/>
      <c r="AD19" s="59"/>
      <c r="AE19" s="59"/>
      <c r="AF19" s="59"/>
      <c r="AG19" s="186"/>
      <c r="AH19" s="186"/>
      <c r="AI19" s="186"/>
      <c r="AJ19" s="186"/>
      <c r="AK19" s="186"/>
      <c r="AL19" s="186"/>
      <c r="AM19" s="186"/>
      <c r="AN19" s="186"/>
      <c r="AO19" s="186"/>
      <c r="AP19" s="186"/>
      <c r="AQ19" s="186"/>
      <c r="AR19" s="167" t="s">
        <v>454</v>
      </c>
      <c r="AS19" s="167" t="s">
        <v>454</v>
      </c>
      <c r="AT19" s="789"/>
    </row>
    <row r="20" spans="1:46" s="1" customFormat="1" ht="52.5" customHeight="1" thickBot="1">
      <c r="A20" s="758"/>
      <c r="B20" s="758"/>
      <c r="C20" s="758"/>
      <c r="D20" s="758"/>
      <c r="E20" s="758"/>
      <c r="F20" s="758"/>
      <c r="G20" s="758"/>
      <c r="H20" s="758"/>
      <c r="I20" s="758"/>
      <c r="J20" s="750"/>
      <c r="K20" s="750"/>
      <c r="L20" s="1271"/>
      <c r="M20" s="758"/>
      <c r="N20" s="170" t="s">
        <v>1218</v>
      </c>
      <c r="O20" s="58">
        <v>2</v>
      </c>
      <c r="P20" s="58" t="s">
        <v>72</v>
      </c>
      <c r="Q20" s="58">
        <v>1</v>
      </c>
      <c r="R20" s="58">
        <v>0</v>
      </c>
      <c r="S20" s="58">
        <v>1</v>
      </c>
      <c r="T20" s="58">
        <v>0</v>
      </c>
      <c r="U20" s="758"/>
      <c r="V20" s="758"/>
      <c r="W20" s="911"/>
      <c r="X20" s="185"/>
      <c r="Y20" s="911"/>
      <c r="Z20" s="59"/>
      <c r="AA20" s="59"/>
      <c r="AB20" s="59"/>
      <c r="AC20" s="59"/>
      <c r="AD20" s="59"/>
      <c r="AE20" s="59"/>
      <c r="AF20" s="59"/>
      <c r="AG20" s="186"/>
      <c r="AH20" s="186"/>
      <c r="AI20" s="186"/>
      <c r="AJ20" s="186"/>
      <c r="AK20" s="186"/>
      <c r="AL20" s="186"/>
      <c r="AM20" s="186"/>
      <c r="AN20" s="186"/>
      <c r="AO20" s="186"/>
      <c r="AP20" s="186"/>
      <c r="AQ20" s="186"/>
      <c r="AR20" s="167" t="s">
        <v>454</v>
      </c>
      <c r="AS20" s="167" t="s">
        <v>454</v>
      </c>
      <c r="AT20" s="789"/>
    </row>
    <row r="21" spans="1:46" s="1" customFormat="1" ht="52.5" customHeight="1" thickBot="1">
      <c r="A21" s="758"/>
      <c r="B21" s="758"/>
      <c r="C21" s="758"/>
      <c r="D21" s="758"/>
      <c r="E21" s="758"/>
      <c r="F21" s="758"/>
      <c r="G21" s="758"/>
      <c r="H21" s="758"/>
      <c r="I21" s="758"/>
      <c r="J21" s="750"/>
      <c r="K21" s="750"/>
      <c r="L21" s="1271"/>
      <c r="M21" s="758"/>
      <c r="N21" s="170" t="s">
        <v>1219</v>
      </c>
      <c r="O21" s="58">
        <v>1</v>
      </c>
      <c r="P21" s="58" t="s">
        <v>72</v>
      </c>
      <c r="Q21" s="58">
        <v>0</v>
      </c>
      <c r="R21" s="58">
        <v>1</v>
      </c>
      <c r="S21" s="58">
        <v>0</v>
      </c>
      <c r="T21" s="58">
        <v>0</v>
      </c>
      <c r="U21" s="758"/>
      <c r="V21" s="758"/>
      <c r="W21" s="911"/>
      <c r="X21" s="185"/>
      <c r="Y21" s="911"/>
      <c r="Z21" s="59"/>
      <c r="AA21" s="59"/>
      <c r="AB21" s="59"/>
      <c r="AC21" s="59"/>
      <c r="AD21" s="59"/>
      <c r="AE21" s="59"/>
      <c r="AF21" s="59"/>
      <c r="AG21" s="186"/>
      <c r="AH21" s="186"/>
      <c r="AI21" s="186"/>
      <c r="AJ21" s="186"/>
      <c r="AK21" s="186"/>
      <c r="AL21" s="186"/>
      <c r="AM21" s="186"/>
      <c r="AN21" s="186"/>
      <c r="AO21" s="186"/>
      <c r="AP21" s="186"/>
      <c r="AQ21" s="186"/>
      <c r="AR21" s="167" t="s">
        <v>454</v>
      </c>
      <c r="AS21" s="167" t="s">
        <v>454</v>
      </c>
      <c r="AT21" s="789"/>
    </row>
    <row r="22" spans="1:46" s="1" customFormat="1" ht="52.5" customHeight="1" thickBot="1">
      <c r="A22" s="758"/>
      <c r="B22" s="758"/>
      <c r="C22" s="758"/>
      <c r="D22" s="758"/>
      <c r="E22" s="758"/>
      <c r="F22" s="758"/>
      <c r="G22" s="758"/>
      <c r="H22" s="758"/>
      <c r="I22" s="758"/>
      <c r="J22" s="750"/>
      <c r="K22" s="750"/>
      <c r="L22" s="1271"/>
      <c r="M22" s="758"/>
      <c r="N22" s="170" t="s">
        <v>464</v>
      </c>
      <c r="O22" s="58">
        <v>2</v>
      </c>
      <c r="P22" s="58" t="s">
        <v>72</v>
      </c>
      <c r="Q22" s="58">
        <v>0</v>
      </c>
      <c r="R22" s="58">
        <v>1</v>
      </c>
      <c r="S22" s="58">
        <v>0</v>
      </c>
      <c r="T22" s="58">
        <v>1</v>
      </c>
      <c r="U22" s="758"/>
      <c r="V22" s="758"/>
      <c r="W22" s="911"/>
      <c r="X22" s="185"/>
      <c r="Y22" s="911"/>
      <c r="Z22" s="59"/>
      <c r="AA22" s="59"/>
      <c r="AB22" s="59"/>
      <c r="AC22" s="59"/>
      <c r="AD22" s="59"/>
      <c r="AE22" s="59"/>
      <c r="AF22" s="59"/>
      <c r="AG22" s="186"/>
      <c r="AH22" s="186"/>
      <c r="AI22" s="186"/>
      <c r="AJ22" s="186"/>
      <c r="AK22" s="186"/>
      <c r="AL22" s="186"/>
      <c r="AM22" s="186"/>
      <c r="AN22" s="186"/>
      <c r="AO22" s="186"/>
      <c r="AP22" s="186"/>
      <c r="AQ22" s="186"/>
      <c r="AR22" s="167" t="s">
        <v>454</v>
      </c>
      <c r="AS22" s="167" t="s">
        <v>454</v>
      </c>
      <c r="AT22" s="789"/>
    </row>
    <row r="23" spans="1:46" s="1" customFormat="1" ht="72" thickBot="1">
      <c r="A23" s="758"/>
      <c r="B23" s="758"/>
      <c r="C23" s="758"/>
      <c r="D23" s="758"/>
      <c r="E23" s="758"/>
      <c r="F23" s="758"/>
      <c r="G23" s="758"/>
      <c r="H23" s="758"/>
      <c r="I23" s="758"/>
      <c r="J23" s="750"/>
      <c r="K23" s="750"/>
      <c r="L23" s="1271"/>
      <c r="M23" s="805"/>
      <c r="N23" s="170" t="s">
        <v>465</v>
      </c>
      <c r="O23" s="58">
        <v>1</v>
      </c>
      <c r="P23" s="58" t="s">
        <v>72</v>
      </c>
      <c r="Q23" s="58">
        <v>0</v>
      </c>
      <c r="R23" s="58">
        <v>0</v>
      </c>
      <c r="S23" s="58">
        <v>0</v>
      </c>
      <c r="T23" s="58">
        <v>1</v>
      </c>
      <c r="U23" s="759"/>
      <c r="V23" s="759"/>
      <c r="W23" s="912"/>
      <c r="X23" s="185"/>
      <c r="Y23" s="1200"/>
      <c r="Z23" s="59"/>
      <c r="AA23" s="59"/>
      <c r="AB23" s="59"/>
      <c r="AC23" s="59"/>
      <c r="AD23" s="59"/>
      <c r="AE23" s="59"/>
      <c r="AF23" s="59"/>
      <c r="AG23" s="186"/>
      <c r="AH23" s="186"/>
      <c r="AI23" s="186"/>
      <c r="AJ23" s="186"/>
      <c r="AK23" s="186"/>
      <c r="AL23" s="186"/>
      <c r="AM23" s="186"/>
      <c r="AN23" s="186"/>
      <c r="AO23" s="186"/>
      <c r="AP23" s="186"/>
      <c r="AQ23" s="186"/>
      <c r="AR23" s="167" t="s">
        <v>454</v>
      </c>
      <c r="AS23" s="167" t="s">
        <v>454</v>
      </c>
      <c r="AT23" s="789"/>
    </row>
    <row r="24" spans="1:46" s="1" customFormat="1" ht="43.5" thickBot="1">
      <c r="A24" s="758"/>
      <c r="B24" s="758"/>
      <c r="C24" s="758"/>
      <c r="D24" s="758"/>
      <c r="E24" s="758"/>
      <c r="F24" s="758"/>
      <c r="G24" s="758"/>
      <c r="H24" s="758"/>
      <c r="I24" s="758"/>
      <c r="J24" s="750"/>
      <c r="K24" s="750"/>
      <c r="L24" s="746"/>
      <c r="M24" s="766" t="s">
        <v>466</v>
      </c>
      <c r="N24" s="170" t="s">
        <v>1220</v>
      </c>
      <c r="O24" s="58">
        <v>2</v>
      </c>
      <c r="P24" s="58" t="s">
        <v>72</v>
      </c>
      <c r="Q24" s="58">
        <v>0</v>
      </c>
      <c r="R24" s="58">
        <v>1</v>
      </c>
      <c r="S24" s="58">
        <v>0</v>
      </c>
      <c r="T24" s="58">
        <v>1</v>
      </c>
      <c r="U24" s="760"/>
      <c r="V24" s="760"/>
      <c r="W24" s="910"/>
      <c r="X24" s="185"/>
      <c r="Y24" s="1199">
        <f>W26</f>
        <v>0</v>
      </c>
      <c r="Z24" s="59"/>
      <c r="AA24" s="59"/>
      <c r="AB24" s="59"/>
      <c r="AC24" s="59"/>
      <c r="AD24" s="59"/>
      <c r="AE24" s="59"/>
      <c r="AF24" s="59"/>
      <c r="AG24" s="186"/>
      <c r="AH24" s="186"/>
      <c r="AI24" s="186"/>
      <c r="AJ24" s="186"/>
      <c r="AK24" s="186"/>
      <c r="AL24" s="186"/>
      <c r="AM24" s="186"/>
      <c r="AN24" s="186"/>
      <c r="AO24" s="186"/>
      <c r="AP24" s="186"/>
      <c r="AQ24" s="186"/>
      <c r="AR24" s="167" t="s">
        <v>454</v>
      </c>
      <c r="AS24" s="167" t="s">
        <v>454</v>
      </c>
      <c r="AT24" s="789"/>
    </row>
    <row r="25" spans="1:46" s="1" customFormat="1" ht="43.5" thickBot="1">
      <c r="A25" s="758"/>
      <c r="B25" s="758"/>
      <c r="C25" s="758"/>
      <c r="D25" s="758"/>
      <c r="E25" s="758"/>
      <c r="F25" s="758"/>
      <c r="G25" s="758"/>
      <c r="H25" s="758"/>
      <c r="I25" s="758"/>
      <c r="J25" s="750"/>
      <c r="K25" s="750"/>
      <c r="L25" s="746"/>
      <c r="M25" s="758"/>
      <c r="N25" s="170" t="s">
        <v>1221</v>
      </c>
      <c r="O25" s="58">
        <v>2</v>
      </c>
      <c r="P25" s="58" t="s">
        <v>142</v>
      </c>
      <c r="Q25" s="58">
        <v>0</v>
      </c>
      <c r="R25" s="58">
        <v>1</v>
      </c>
      <c r="S25" s="58">
        <v>0</v>
      </c>
      <c r="T25" s="58">
        <v>1</v>
      </c>
      <c r="U25" s="758"/>
      <c r="V25" s="758"/>
      <c r="W25" s="911"/>
      <c r="X25" s="185"/>
      <c r="Y25" s="911"/>
      <c r="Z25" s="59"/>
      <c r="AA25" s="59"/>
      <c r="AB25" s="59"/>
      <c r="AC25" s="59"/>
      <c r="AD25" s="59"/>
      <c r="AE25" s="59"/>
      <c r="AF25" s="59"/>
      <c r="AG25" s="186"/>
      <c r="AH25" s="186"/>
      <c r="AI25" s="186"/>
      <c r="AJ25" s="186"/>
      <c r="AK25" s="186"/>
      <c r="AL25" s="186"/>
      <c r="AM25" s="186"/>
      <c r="AN25" s="186"/>
      <c r="AO25" s="186"/>
      <c r="AP25" s="186"/>
      <c r="AQ25" s="186"/>
      <c r="AR25" s="167" t="s">
        <v>454</v>
      </c>
      <c r="AS25" s="167" t="s">
        <v>454</v>
      </c>
      <c r="AT25" s="789"/>
    </row>
    <row r="26" spans="1:46" s="1" customFormat="1" ht="42.75">
      <c r="A26" s="758"/>
      <c r="B26" s="758"/>
      <c r="C26" s="758"/>
      <c r="D26" s="758"/>
      <c r="E26" s="758"/>
      <c r="F26" s="758"/>
      <c r="G26" s="758"/>
      <c r="H26" s="758"/>
      <c r="I26" s="758"/>
      <c r="J26" s="750"/>
      <c r="K26" s="750"/>
      <c r="L26" s="1286"/>
      <c r="M26" s="758"/>
      <c r="N26" s="174" t="s">
        <v>1222</v>
      </c>
      <c r="O26" s="159">
        <v>100</v>
      </c>
      <c r="P26" s="159" t="s">
        <v>93</v>
      </c>
      <c r="Q26" s="159">
        <v>0</v>
      </c>
      <c r="R26" s="159">
        <v>50</v>
      </c>
      <c r="S26" s="159">
        <v>0</v>
      </c>
      <c r="T26" s="159">
        <v>50</v>
      </c>
      <c r="U26" s="758"/>
      <c r="V26" s="758"/>
      <c r="W26" s="911"/>
      <c r="X26" s="185"/>
      <c r="Y26" s="911"/>
      <c r="Z26" s="184"/>
      <c r="AA26" s="184"/>
      <c r="AB26" s="184"/>
      <c r="AC26" s="184"/>
      <c r="AD26" s="184"/>
      <c r="AE26" s="184"/>
      <c r="AF26" s="184"/>
      <c r="AG26" s="185"/>
      <c r="AH26" s="185"/>
      <c r="AI26" s="185"/>
      <c r="AJ26" s="185"/>
      <c r="AK26" s="185"/>
      <c r="AL26" s="185"/>
      <c r="AM26" s="185"/>
      <c r="AN26" s="185"/>
      <c r="AO26" s="185"/>
      <c r="AP26" s="185"/>
      <c r="AQ26" s="185"/>
      <c r="AR26" s="181" t="s">
        <v>454</v>
      </c>
      <c r="AS26" s="181" t="s">
        <v>454</v>
      </c>
      <c r="AT26" s="790"/>
    </row>
    <row r="27" spans="1:46" s="1" customFormat="1" ht="15" customHeight="1">
      <c r="A27" s="1201" t="s">
        <v>979</v>
      </c>
      <c r="B27" s="1201"/>
      <c r="C27" s="1201"/>
      <c r="D27" s="1201"/>
      <c r="E27" s="1201"/>
      <c r="F27" s="1201"/>
      <c r="G27" s="1201"/>
      <c r="H27" s="1201"/>
      <c r="I27" s="1201"/>
      <c r="J27" s="1201"/>
      <c r="K27" s="1201"/>
      <c r="L27" s="1201"/>
      <c r="M27" s="1201"/>
      <c r="N27" s="1201"/>
      <c r="O27" s="198">
        <f>O25+O24+O23+O22+O21+O20+O19+O18+O17+O16+O15+O14+O13+O11+O10+O9+O8</f>
        <v>23</v>
      </c>
      <c r="P27" s="198" t="s">
        <v>1002</v>
      </c>
      <c r="Q27" s="198">
        <f t="shared" ref="Q27:T27" si="1">Q25+Q24+Q23+Q22+Q21+Q20+Q19+Q18+Q17+Q16+Q15+Q14+Q13+Q11+Q10+Q9+Q8</f>
        <v>4</v>
      </c>
      <c r="R27" s="198">
        <f t="shared" si="1"/>
        <v>8</v>
      </c>
      <c r="S27" s="198">
        <f t="shared" si="1"/>
        <v>5</v>
      </c>
      <c r="T27" s="198">
        <f t="shared" si="1"/>
        <v>6</v>
      </c>
      <c r="U27" s="198"/>
      <c r="V27" s="198"/>
      <c r="W27" s="1173">
        <f>W24+W19+W15+W13+W8</f>
        <v>636777246</v>
      </c>
      <c r="X27" s="322"/>
      <c r="Y27" s="1173">
        <f>Y24+Y19+Y15+Y13+Y8</f>
        <v>636777246</v>
      </c>
      <c r="Z27" s="316">
        <f>Z25+Z24+Z23+Z22+Z21+Z20+Z19+Z18+Z17+Z16+Z15+Z14+Z13+Z11+Z10+Z9+Z8+Z12</f>
        <v>0</v>
      </c>
      <c r="AA27" s="198">
        <f t="shared" ref="AA27:AC27" si="2">AA25+AA24+AA23+AA22+AA21+AA20+AA19+AA18+AA17+AA16+AA15+AA14+AA13+AA11+AA10+AA9+AA8</f>
        <v>0</v>
      </c>
      <c r="AB27" s="198">
        <f t="shared" si="2"/>
        <v>0</v>
      </c>
      <c r="AC27" s="198">
        <f t="shared" si="2"/>
        <v>0</v>
      </c>
      <c r="AD27" s="1173">
        <f>AD26+AD25+AD24+AD23+AD22+AD21+AD20+AD19+AD18+AD17+AD16+AD15+AD14+AD13+AD12+AD11+AD10+AD9+AD8</f>
        <v>116614327</v>
      </c>
      <c r="AE27" s="1173">
        <f t="shared" ref="AE27:AI27" si="3">AE24+AE19+AE15+AE13+AE8</f>
        <v>14923578</v>
      </c>
      <c r="AF27" s="1173">
        <f t="shared" si="3"/>
        <v>0</v>
      </c>
      <c r="AG27" s="1173">
        <f t="shared" si="3"/>
        <v>0</v>
      </c>
      <c r="AH27" s="1173">
        <f t="shared" si="3"/>
        <v>0</v>
      </c>
      <c r="AI27" s="1173">
        <f t="shared" si="3"/>
        <v>0</v>
      </c>
      <c r="AJ27" s="201"/>
      <c r="AK27" s="201"/>
      <c r="AL27" s="201"/>
      <c r="AM27" s="201"/>
      <c r="AN27" s="201"/>
      <c r="AO27" s="201"/>
      <c r="AP27" s="201"/>
      <c r="AQ27" s="201"/>
      <c r="AR27" s="198"/>
      <c r="AS27" s="198"/>
    </row>
    <row r="28" spans="1:46" s="1" customFormat="1">
      <c r="A28" s="1201"/>
      <c r="B28" s="1201"/>
      <c r="C28" s="1201"/>
      <c r="D28" s="1201"/>
      <c r="E28" s="1201"/>
      <c r="F28" s="1201"/>
      <c r="G28" s="1201"/>
      <c r="H28" s="1201"/>
      <c r="I28" s="1201"/>
      <c r="J28" s="1201"/>
      <c r="K28" s="1201"/>
      <c r="L28" s="1201"/>
      <c r="M28" s="1201"/>
      <c r="N28" s="1201"/>
      <c r="O28" s="198">
        <f>O12</f>
        <v>100</v>
      </c>
      <c r="P28" s="198" t="s">
        <v>93</v>
      </c>
      <c r="Q28" s="198">
        <f>Q12</f>
        <v>100</v>
      </c>
      <c r="R28" s="198">
        <v>50</v>
      </c>
      <c r="S28" s="198">
        <f t="shared" ref="S28" si="4">S12</f>
        <v>0</v>
      </c>
      <c r="T28" s="198">
        <v>50</v>
      </c>
      <c r="U28" s="198"/>
      <c r="V28" s="198"/>
      <c r="W28" s="1174"/>
      <c r="X28" s="247"/>
      <c r="Y28" s="1174"/>
      <c r="Z28" s="198">
        <f>Z12+AVERAGE(Z26+Z12)</f>
        <v>0</v>
      </c>
      <c r="AA28" s="198">
        <f t="shared" ref="AA28:AC28" si="5">AA12+AVERAGE(AA26+AA12)</f>
        <v>0</v>
      </c>
      <c r="AB28" s="198">
        <f t="shared" si="5"/>
        <v>0</v>
      </c>
      <c r="AC28" s="198">
        <f t="shared" si="5"/>
        <v>0</v>
      </c>
      <c r="AD28" s="1174"/>
      <c r="AE28" s="1174"/>
      <c r="AF28" s="1174"/>
      <c r="AG28" s="1174"/>
      <c r="AH28" s="1174"/>
      <c r="AI28" s="1174"/>
      <c r="AJ28" s="201"/>
      <c r="AK28" s="201"/>
      <c r="AL28" s="201"/>
      <c r="AM28" s="201"/>
      <c r="AN28" s="201"/>
      <c r="AO28" s="201"/>
      <c r="AP28" s="201"/>
      <c r="AQ28" s="201"/>
      <c r="AR28" s="198"/>
      <c r="AS28" s="198"/>
    </row>
    <row r="29" spans="1:46" s="1" customFormat="1">
      <c r="A29" s="3"/>
      <c r="B29" s="3"/>
      <c r="C29" s="3"/>
      <c r="D29" s="3"/>
      <c r="E29" s="3"/>
      <c r="F29" s="3"/>
      <c r="G29" s="3"/>
      <c r="H29" s="3"/>
      <c r="I29" s="3"/>
      <c r="N29" s="5"/>
      <c r="O29" s="3"/>
      <c r="P29" s="3"/>
      <c r="Q29" s="3"/>
      <c r="R29" s="3"/>
      <c r="S29" s="3"/>
      <c r="T29" s="3"/>
      <c r="U29" s="13" t="e">
        <f>#REF!-#REF!</f>
        <v>#REF!</v>
      </c>
      <c r="V29" s="3"/>
      <c r="W29" s="7"/>
      <c r="X29" s="7"/>
      <c r="Y29" s="7"/>
      <c r="Z29" s="7"/>
      <c r="AA29" s="7"/>
      <c r="AB29" s="7"/>
      <c r="AC29" s="7"/>
      <c r="AD29" s="7"/>
      <c r="AE29" s="7"/>
      <c r="AF29" s="7"/>
      <c r="AG29" s="7"/>
      <c r="AH29" s="7"/>
      <c r="AI29" s="7"/>
      <c r="AJ29" s="7"/>
      <c r="AK29" s="7"/>
      <c r="AL29" s="7"/>
      <c r="AM29" s="7"/>
      <c r="AN29" s="7"/>
      <c r="AO29" s="7"/>
      <c r="AP29" s="7"/>
      <c r="AQ29" s="7"/>
      <c r="AR29" s="3"/>
      <c r="AS29" s="3"/>
    </row>
    <row r="30" spans="1:46" s="1" customFormat="1">
      <c r="A30" s="3"/>
      <c r="B30" s="3"/>
      <c r="C30" s="3"/>
      <c r="D30" s="3"/>
      <c r="E30" s="3"/>
      <c r="F30" s="3"/>
      <c r="G30" s="3"/>
      <c r="H30" s="3"/>
      <c r="I30" s="3"/>
      <c r="N30" s="5"/>
      <c r="O30" s="3"/>
      <c r="P30" s="3"/>
      <c r="Q30" s="3"/>
      <c r="R30" s="3"/>
      <c r="S30" s="3"/>
      <c r="T30" s="3"/>
      <c r="U30" s="3"/>
      <c r="V30" s="14" t="e">
        <f>Y31-#REF!</f>
        <v>#REF!</v>
      </c>
      <c r="W30" s="7"/>
      <c r="X30" s="7"/>
      <c r="Y30" s="7"/>
      <c r="Z30" s="7"/>
      <c r="AA30" s="7"/>
      <c r="AB30" s="7"/>
      <c r="AC30" s="7"/>
      <c r="AD30" s="7"/>
      <c r="AE30" s="7"/>
      <c r="AF30" s="7"/>
      <c r="AG30" s="7"/>
      <c r="AH30" s="7"/>
      <c r="AI30" s="7"/>
      <c r="AJ30" s="7"/>
      <c r="AK30" s="7"/>
      <c r="AL30" s="7"/>
      <c r="AM30" s="7"/>
      <c r="AN30" s="7"/>
      <c r="AO30" s="7"/>
      <c r="AP30" s="7"/>
      <c r="AQ30" s="7"/>
      <c r="AR30" s="3"/>
      <c r="AS30" s="3"/>
    </row>
    <row r="31" spans="1:46" s="1" customFormat="1" ht="23.25">
      <c r="A31" s="1108" t="s">
        <v>995</v>
      </c>
      <c r="B31" s="1108"/>
      <c r="C31" s="1108"/>
      <c r="D31" s="1108"/>
      <c r="E31" s="1108"/>
      <c r="F31" s="1108"/>
      <c r="G31" s="1108"/>
      <c r="H31" s="1108"/>
      <c r="I31" s="1108"/>
      <c r="J31" s="1108"/>
      <c r="K31" s="1108"/>
      <c r="L31" s="1108"/>
      <c r="M31" s="1108"/>
      <c r="N31" s="1108"/>
      <c r="O31" s="1108"/>
      <c r="P31" s="3"/>
      <c r="Q31" s="3"/>
      <c r="R31" s="3"/>
      <c r="S31" s="3"/>
      <c r="T31" s="3"/>
      <c r="U31" s="3"/>
      <c r="V31" s="3"/>
      <c r="W31" s="7"/>
      <c r="X31" s="7"/>
      <c r="Y31" s="12">
        <v>90692582257</v>
      </c>
      <c r="Z31" s="202"/>
      <c r="AA31" s="202"/>
      <c r="AB31" s="202"/>
      <c r="AC31" s="202"/>
      <c r="AD31" s="202"/>
      <c r="AE31" s="202"/>
      <c r="AF31" s="202"/>
      <c r="AG31" s="202"/>
      <c r="AH31" s="202"/>
      <c r="AI31" s="202"/>
      <c r="AJ31" s="202"/>
      <c r="AK31" s="202"/>
      <c r="AL31" s="202"/>
      <c r="AM31" s="202"/>
      <c r="AN31" s="202"/>
      <c r="AO31" s="202"/>
      <c r="AP31" s="202"/>
      <c r="AQ31" s="202"/>
      <c r="AR31" s="13" t="e">
        <f>Y31-#REF!</f>
        <v>#REF!</v>
      </c>
      <c r="AS31" s="3"/>
    </row>
    <row r="32" spans="1:46" s="1" customFormat="1" ht="60">
      <c r="A32" s="223" t="s">
        <v>996</v>
      </c>
      <c r="B32" s="224" t="s">
        <v>997</v>
      </c>
      <c r="C32" s="224" t="s">
        <v>998</v>
      </c>
      <c r="D32" s="224" t="s">
        <v>660</v>
      </c>
      <c r="E32" s="224" t="s">
        <v>999</v>
      </c>
      <c r="F32" s="224" t="s">
        <v>660</v>
      </c>
      <c r="G32" s="224" t="s">
        <v>1000</v>
      </c>
      <c r="H32" s="224" t="s">
        <v>660</v>
      </c>
      <c r="I32" s="224"/>
      <c r="J32" s="225"/>
      <c r="K32" s="225"/>
      <c r="L32" s="225"/>
      <c r="M32" s="224" t="s">
        <v>660</v>
      </c>
      <c r="N32" s="224" t="s">
        <v>1001</v>
      </c>
      <c r="O32" s="224" t="s">
        <v>660</v>
      </c>
      <c r="P32" s="3"/>
      <c r="Q32" s="3"/>
      <c r="R32" s="3"/>
      <c r="S32" s="3"/>
      <c r="T32" s="3"/>
      <c r="U32" s="3"/>
      <c r="V32" s="3"/>
      <c r="W32" s="7"/>
      <c r="X32" s="7"/>
      <c r="Y32" s="7"/>
      <c r="Z32" s="7">
        <f>Z27+Z28</f>
        <v>0</v>
      </c>
      <c r="AA32" s="7"/>
      <c r="AB32" s="7"/>
      <c r="AC32" s="7"/>
      <c r="AD32" s="7"/>
      <c r="AE32" s="7"/>
      <c r="AF32" s="7"/>
      <c r="AG32" s="7"/>
      <c r="AH32" s="7"/>
      <c r="AI32" s="7"/>
      <c r="AJ32" s="7"/>
      <c r="AK32" s="7"/>
      <c r="AL32" s="7"/>
      <c r="AM32" s="7"/>
      <c r="AN32" s="7"/>
      <c r="AO32" s="7"/>
      <c r="AP32" s="7"/>
      <c r="AQ32" s="7"/>
      <c r="AR32" s="3"/>
      <c r="AS32" s="3"/>
    </row>
    <row r="33" spans="1:45" s="1" customFormat="1">
      <c r="A33" s="213" t="s">
        <v>1002</v>
      </c>
      <c r="B33" s="213">
        <f>O27</f>
        <v>23</v>
      </c>
      <c r="C33" s="213">
        <f>Z27</f>
        <v>0</v>
      </c>
      <c r="D33" s="220">
        <f>B33*C33/100</f>
        <v>0</v>
      </c>
      <c r="E33" s="213">
        <f>AA27</f>
        <v>0</v>
      </c>
      <c r="F33" s="220">
        <f>B33*E33/100</f>
        <v>0</v>
      </c>
      <c r="G33" s="213">
        <f>AB27</f>
        <v>0</v>
      </c>
      <c r="H33" s="220">
        <f>B33*G33/100</f>
        <v>0</v>
      </c>
      <c r="I33" s="214"/>
      <c r="J33" s="214"/>
      <c r="K33" s="214"/>
      <c r="L33" s="214"/>
      <c r="M33" s="215"/>
      <c r="N33" s="213">
        <f>AC27</f>
        <v>0</v>
      </c>
      <c r="O33" s="220">
        <f>B33*N33/100</f>
        <v>0</v>
      </c>
      <c r="P33" s="3"/>
      <c r="Q33" s="3"/>
      <c r="R33" s="3"/>
      <c r="S33" s="3"/>
      <c r="T33" s="3"/>
      <c r="U33" s="13" t="e">
        <f>#REF!-#REF!</f>
        <v>#REF!</v>
      </c>
      <c r="V33" s="3"/>
      <c r="W33" s="7"/>
      <c r="X33" s="7"/>
      <c r="Y33" s="7"/>
      <c r="Z33" s="7"/>
      <c r="AA33" s="7"/>
      <c r="AB33" s="7"/>
      <c r="AC33" s="7"/>
      <c r="AD33" s="7"/>
      <c r="AE33" s="7"/>
      <c r="AF33" s="7"/>
      <c r="AG33" s="7"/>
      <c r="AH33" s="7"/>
      <c r="AI33" s="7"/>
      <c r="AJ33" s="7"/>
      <c r="AK33" s="7"/>
      <c r="AL33" s="7"/>
      <c r="AM33" s="7"/>
      <c r="AN33" s="7"/>
      <c r="AO33" s="7"/>
      <c r="AP33" s="7"/>
      <c r="AQ33" s="7"/>
      <c r="AR33" s="3"/>
      <c r="AS33" s="3"/>
    </row>
    <row r="34" spans="1:45" s="1" customFormat="1">
      <c r="A34" s="213" t="s">
        <v>93</v>
      </c>
      <c r="B34" s="213">
        <f>O28</f>
        <v>100</v>
      </c>
      <c r="C34" s="220">
        <f>Z28</f>
        <v>0</v>
      </c>
      <c r="D34" s="220">
        <f>B34*C34/100</f>
        <v>0</v>
      </c>
      <c r="E34" s="220">
        <f>AA28</f>
        <v>0</v>
      </c>
      <c r="F34" s="220">
        <f>B34*E34/100</f>
        <v>0</v>
      </c>
      <c r="G34" s="220">
        <f>AB28</f>
        <v>0</v>
      </c>
      <c r="H34" s="220">
        <f>B34*G34/100</f>
        <v>0</v>
      </c>
      <c r="I34" s="214"/>
      <c r="J34" s="214"/>
      <c r="K34" s="214"/>
      <c r="L34" s="214"/>
      <c r="M34" s="215">
        <v>0</v>
      </c>
      <c r="N34" s="213">
        <f>AC28</f>
        <v>0</v>
      </c>
      <c r="O34" s="220">
        <f>B34*N34/100</f>
        <v>0</v>
      </c>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7"/>
      <c r="AR34" s="3"/>
      <c r="AS34" s="3"/>
    </row>
    <row r="35" spans="1:45" s="1" customFormat="1">
      <c r="A35" s="3"/>
      <c r="B35" s="3"/>
      <c r="C35" s="3"/>
      <c r="D35" s="3"/>
      <c r="E35" s="3"/>
      <c r="F35" s="3"/>
      <c r="G35" s="3"/>
      <c r="H35" s="3"/>
      <c r="M35" s="5"/>
      <c r="N35" s="3"/>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7"/>
      <c r="AR35" s="3"/>
      <c r="AS35" s="3"/>
    </row>
    <row r="36" spans="1:45" s="1" customFormat="1" ht="15">
      <c r="A36" s="1109" t="s">
        <v>1003</v>
      </c>
      <c r="B36" s="1109"/>
      <c r="C36" s="1109"/>
      <c r="D36" s="1109"/>
      <c r="E36" s="1109"/>
      <c r="F36" s="1109"/>
      <c r="G36" s="1109"/>
      <c r="H36" s="1109"/>
      <c r="I36" s="1109"/>
      <c r="J36" s="1109"/>
      <c r="K36" s="1109"/>
      <c r="L36" s="1109"/>
      <c r="M36" s="1109"/>
      <c r="N36" s="1109"/>
      <c r="O36" s="3"/>
      <c r="P36" s="3"/>
      <c r="Q36" s="3"/>
      <c r="R36" s="3"/>
      <c r="S36" s="3"/>
      <c r="T36" s="3"/>
      <c r="U36" s="3"/>
      <c r="V36" s="3"/>
      <c r="W36" s="7"/>
      <c r="X36" s="7"/>
      <c r="Y36" s="7"/>
      <c r="Z36" s="7"/>
      <c r="AA36" s="7"/>
      <c r="AB36" s="7"/>
      <c r="AC36" s="7"/>
      <c r="AD36" s="7"/>
      <c r="AE36" s="7"/>
      <c r="AF36" s="7"/>
      <c r="AG36" s="7"/>
      <c r="AH36" s="7"/>
      <c r="AI36" s="7"/>
      <c r="AJ36" s="7"/>
      <c r="AK36" s="7"/>
      <c r="AL36" s="7"/>
      <c r="AM36" s="7"/>
      <c r="AN36" s="7"/>
      <c r="AO36" s="7"/>
      <c r="AP36" s="7"/>
      <c r="AQ36" s="7"/>
      <c r="AR36" s="3"/>
      <c r="AS36" s="3"/>
    </row>
    <row r="37" spans="1:45" s="1" customFormat="1" ht="45">
      <c r="A37" s="221" t="s">
        <v>674</v>
      </c>
      <c r="B37" s="221" t="s">
        <v>1004</v>
      </c>
      <c r="C37" s="221" t="s">
        <v>660</v>
      </c>
      <c r="D37" s="221" t="s">
        <v>1005</v>
      </c>
      <c r="E37" s="221" t="s">
        <v>660</v>
      </c>
      <c r="F37" s="221" t="s">
        <v>1006</v>
      </c>
      <c r="G37" s="221" t="s">
        <v>660</v>
      </c>
      <c r="H37" s="221" t="s">
        <v>1007</v>
      </c>
      <c r="I37" s="222"/>
      <c r="J37" s="222"/>
      <c r="K37" s="222"/>
      <c r="L37" s="222"/>
      <c r="M37" s="221" t="s">
        <v>1007</v>
      </c>
      <c r="N37" s="221" t="s">
        <v>660</v>
      </c>
      <c r="O37" s="3"/>
      <c r="P37" s="3"/>
      <c r="Q37" s="3"/>
      <c r="R37" s="3"/>
      <c r="S37" s="3"/>
      <c r="T37" s="3"/>
      <c r="U37" s="3"/>
      <c r="V37" s="3"/>
      <c r="W37" s="7"/>
      <c r="X37" s="7"/>
      <c r="Y37" s="7"/>
      <c r="Z37" s="7"/>
      <c r="AA37" s="7"/>
      <c r="AB37" s="7"/>
      <c r="AC37" s="7"/>
      <c r="AD37" s="7"/>
      <c r="AE37" s="7"/>
      <c r="AF37" s="7"/>
      <c r="AG37" s="7"/>
      <c r="AH37" s="7"/>
      <c r="AI37" s="7"/>
      <c r="AJ37" s="7"/>
      <c r="AK37" s="7"/>
      <c r="AL37" s="7"/>
      <c r="AM37" s="7"/>
      <c r="AN37" s="7"/>
      <c r="AO37" s="7"/>
      <c r="AP37" s="7"/>
      <c r="AQ37" s="7"/>
      <c r="AR37" s="3"/>
      <c r="AS37" s="3"/>
    </row>
    <row r="38" spans="1:45" s="1" customFormat="1">
      <c r="A38" s="217">
        <f>Y27</f>
        <v>636777246</v>
      </c>
      <c r="B38" s="217">
        <f>AD27</f>
        <v>116614327</v>
      </c>
      <c r="C38" s="220">
        <f>A38*B38/100</f>
        <v>742573499912034.38</v>
      </c>
      <c r="D38" s="217">
        <f>AE27</f>
        <v>14923578</v>
      </c>
      <c r="E38" s="220">
        <f>A38*D38/100</f>
        <v>95029948993061.875</v>
      </c>
      <c r="F38" s="217">
        <f>AF27</f>
        <v>0</v>
      </c>
      <c r="G38" s="220">
        <f>A38*F38/100</f>
        <v>0</v>
      </c>
      <c r="H38" s="217">
        <f>AG27</f>
        <v>0</v>
      </c>
      <c r="I38" s="214"/>
      <c r="J38" s="214"/>
      <c r="K38" s="214"/>
      <c r="L38" s="214"/>
      <c r="M38" s="228">
        <f>AF17</f>
        <v>0</v>
      </c>
      <c r="N38" s="220">
        <f>A38*H38/100</f>
        <v>0</v>
      </c>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7"/>
      <c r="AR38" s="3"/>
      <c r="AS38" s="3"/>
    </row>
    <row r="39" spans="1:45" s="1" customFormat="1">
      <c r="A39" s="213"/>
      <c r="B39" s="213"/>
      <c r="C39" s="213"/>
      <c r="D39" s="213"/>
      <c r="E39" s="213"/>
      <c r="F39" s="213"/>
      <c r="G39" s="213"/>
      <c r="H39" s="213"/>
      <c r="I39" s="214"/>
      <c r="J39" s="214"/>
      <c r="K39" s="214"/>
      <c r="L39" s="214"/>
      <c r="M39" s="215"/>
      <c r="N39" s="213"/>
      <c r="O39" s="3"/>
      <c r="P39" s="3"/>
      <c r="Q39" s="3"/>
      <c r="R39" s="3"/>
      <c r="S39" s="3"/>
      <c r="T39" s="3"/>
      <c r="U39" s="3"/>
      <c r="V39" s="3"/>
      <c r="W39" s="7"/>
      <c r="X39" s="7"/>
      <c r="Y39" s="7"/>
      <c r="Z39" s="7"/>
      <c r="AA39" s="7"/>
      <c r="AB39" s="7"/>
      <c r="AC39" s="7"/>
      <c r="AD39" s="7"/>
      <c r="AE39" s="7"/>
      <c r="AF39" s="7"/>
      <c r="AG39" s="7"/>
      <c r="AH39" s="7"/>
      <c r="AI39" s="7"/>
      <c r="AJ39" s="7"/>
      <c r="AK39" s="7"/>
      <c r="AL39" s="7"/>
      <c r="AM39" s="7"/>
      <c r="AN39" s="7"/>
      <c r="AO39" s="7"/>
      <c r="AP39" s="7"/>
      <c r="AQ39" s="7"/>
      <c r="AR39" s="3"/>
      <c r="AS39" s="3"/>
    </row>
    <row r="40" spans="1:45" s="1" customFormat="1">
      <c r="A40" s="3"/>
      <c r="B40" s="3"/>
      <c r="C40" s="3"/>
      <c r="D40" s="3"/>
      <c r="E40" s="3"/>
      <c r="F40" s="3"/>
      <c r="G40" s="3"/>
      <c r="H40" s="3"/>
      <c r="M40" s="5"/>
      <c r="N40" s="3"/>
      <c r="O40" s="3"/>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7"/>
      <c r="AR40" s="3"/>
      <c r="AS40" s="3"/>
    </row>
    <row r="41" spans="1:45" s="1" customFormat="1">
      <c r="A41" s="3"/>
      <c r="B41" s="3"/>
      <c r="C41" s="3"/>
      <c r="D41" s="3"/>
      <c r="E41" s="3"/>
      <c r="F41" s="3"/>
      <c r="G41" s="3"/>
      <c r="H41" s="3"/>
      <c r="I41" s="3"/>
      <c r="N41" s="5"/>
      <c r="O41" s="3"/>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7"/>
      <c r="AR41" s="3"/>
      <c r="AS41" s="3"/>
    </row>
    <row r="42" spans="1:45" s="1" customFormat="1">
      <c r="A42" s="3"/>
      <c r="B42" s="3"/>
      <c r="C42" s="3"/>
      <c r="D42" s="3"/>
      <c r="E42" s="3"/>
      <c r="F42" s="3"/>
      <c r="G42" s="3"/>
      <c r="H42" s="3"/>
      <c r="I42" s="3"/>
      <c r="N42" s="5"/>
      <c r="O42" s="3"/>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7"/>
      <c r="AR42" s="3"/>
      <c r="AS42" s="3"/>
    </row>
    <row r="43" spans="1:45" s="1" customFormat="1" ht="15">
      <c r="A43" s="1108" t="s">
        <v>1223</v>
      </c>
      <c r="B43" s="1108"/>
      <c r="C43" s="1108"/>
      <c r="D43" s="1108"/>
      <c r="E43" s="1108"/>
      <c r="F43" s="1108"/>
      <c r="G43" s="1108"/>
      <c r="H43" s="1108"/>
      <c r="I43" s="1108"/>
      <c r="J43" s="1108"/>
      <c r="K43" s="1108"/>
      <c r="L43" s="1108"/>
      <c r="M43" s="1108"/>
      <c r="N43" s="1108"/>
      <c r="O43" s="1108"/>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7"/>
      <c r="AR43" s="3"/>
      <c r="AS43" s="3"/>
    </row>
    <row r="44" spans="1:45" s="1" customFormat="1" ht="60">
      <c r="A44" s="223" t="s">
        <v>996</v>
      </c>
      <c r="B44" s="224" t="s">
        <v>997</v>
      </c>
      <c r="C44" s="224" t="s">
        <v>998</v>
      </c>
      <c r="D44" s="224" t="s">
        <v>660</v>
      </c>
      <c r="E44" s="224" t="s">
        <v>999</v>
      </c>
      <c r="F44" s="224" t="s">
        <v>660</v>
      </c>
      <c r="G44" s="224" t="s">
        <v>1000</v>
      </c>
      <c r="H44" s="224" t="s">
        <v>660</v>
      </c>
      <c r="I44" s="224"/>
      <c r="J44" s="225"/>
      <c r="K44" s="225"/>
      <c r="L44" s="225"/>
      <c r="M44" s="225"/>
      <c r="N44" s="224" t="s">
        <v>1001</v>
      </c>
      <c r="O44" s="224" t="s">
        <v>660</v>
      </c>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7"/>
      <c r="AR44" s="3"/>
      <c r="AS44" s="3"/>
    </row>
    <row r="45" spans="1:45" s="1" customFormat="1">
      <c r="A45" s="213" t="s">
        <v>1002</v>
      </c>
      <c r="B45" s="213">
        <f>B33</f>
        <v>23</v>
      </c>
      <c r="C45" s="213">
        <f>C33</f>
        <v>0</v>
      </c>
      <c r="D45" s="220">
        <f>B45*C45/100</f>
        <v>0</v>
      </c>
      <c r="E45" s="213">
        <f>E33</f>
        <v>0</v>
      </c>
      <c r="F45" s="220">
        <f>B45*E45/100</f>
        <v>0</v>
      </c>
      <c r="G45" s="213">
        <f>G33</f>
        <v>0</v>
      </c>
      <c r="H45" s="220">
        <f>B45*G45/100</f>
        <v>0</v>
      </c>
      <c r="I45" s="214"/>
      <c r="J45" s="214"/>
      <c r="K45" s="214"/>
      <c r="L45" s="214"/>
      <c r="M45" s="215"/>
      <c r="N45" s="213">
        <f>N33</f>
        <v>0</v>
      </c>
      <c r="O45" s="220">
        <f>B45*N45/100</f>
        <v>0</v>
      </c>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7"/>
      <c r="AR45" s="3"/>
      <c r="AS45" s="3"/>
    </row>
    <row r="46" spans="1:45" s="1" customFormat="1">
      <c r="A46" s="213" t="s">
        <v>93</v>
      </c>
      <c r="B46" s="220">
        <v>1</v>
      </c>
      <c r="C46" s="220">
        <f>C34</f>
        <v>0</v>
      </c>
      <c r="D46" s="220">
        <f>B46*C46/100</f>
        <v>0</v>
      </c>
      <c r="E46" s="220">
        <f>AA40</f>
        <v>0</v>
      </c>
      <c r="F46" s="220">
        <f>B46*E46/100</f>
        <v>0</v>
      </c>
      <c r="G46" s="220">
        <f>AB40</f>
        <v>0</v>
      </c>
      <c r="H46" s="220">
        <f>B46*G46/100</f>
        <v>0</v>
      </c>
      <c r="I46" s="214"/>
      <c r="J46" s="214"/>
      <c r="K46" s="214"/>
      <c r="L46" s="214"/>
      <c r="M46" s="215">
        <v>0</v>
      </c>
      <c r="N46" s="220">
        <f>AC40</f>
        <v>0</v>
      </c>
      <c r="O46" s="220">
        <f>B46*N46/100</f>
        <v>0</v>
      </c>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7"/>
      <c r="AR46" s="3"/>
      <c r="AS46" s="3"/>
    </row>
    <row r="47" spans="1:45" s="1" customFormat="1">
      <c r="A47" s="3"/>
      <c r="B47" s="3"/>
      <c r="C47" s="3"/>
      <c r="D47" s="3"/>
      <c r="E47" s="3"/>
      <c r="F47" s="3"/>
      <c r="G47" s="3"/>
      <c r="H47" s="3"/>
      <c r="M47" s="5"/>
      <c r="N47" s="3"/>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7"/>
      <c r="AR47" s="3"/>
      <c r="AS47" s="3"/>
    </row>
    <row r="48" spans="1:45" s="1" customFormat="1" ht="15">
      <c r="A48" s="1109" t="s">
        <v>1224</v>
      </c>
      <c r="B48" s="1109"/>
      <c r="C48" s="1109"/>
      <c r="D48" s="1109"/>
      <c r="E48" s="1109"/>
      <c r="F48" s="1109"/>
      <c r="G48" s="1109"/>
      <c r="H48" s="1109"/>
      <c r="I48" s="1109"/>
      <c r="J48" s="1109"/>
      <c r="K48" s="1109"/>
      <c r="L48" s="1109"/>
      <c r="M48" s="1109"/>
      <c r="N48" s="1109"/>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7"/>
      <c r="AR48" s="3"/>
      <c r="AS48" s="3"/>
    </row>
    <row r="49" spans="1:14" ht="45">
      <c r="A49" s="221" t="s">
        <v>674</v>
      </c>
      <c r="B49" s="221" t="s">
        <v>1004</v>
      </c>
      <c r="C49" s="221" t="s">
        <v>660</v>
      </c>
      <c r="D49" s="221" t="s">
        <v>1005</v>
      </c>
      <c r="E49" s="221" t="s">
        <v>660</v>
      </c>
      <c r="F49" s="221" t="s">
        <v>1006</v>
      </c>
      <c r="G49" s="221" t="s">
        <v>660</v>
      </c>
      <c r="H49" s="221" t="s">
        <v>1007</v>
      </c>
      <c r="I49" s="222"/>
      <c r="J49" s="222"/>
      <c r="K49" s="222"/>
      <c r="L49" s="222"/>
      <c r="M49" s="221" t="s">
        <v>1007</v>
      </c>
      <c r="N49" s="221" t="s">
        <v>660</v>
      </c>
    </row>
    <row r="50" spans="1:14">
      <c r="A50" s="217">
        <f>A38</f>
        <v>636777246</v>
      </c>
      <c r="B50" s="217">
        <f>B38</f>
        <v>116614327</v>
      </c>
      <c r="C50" s="220">
        <f>A50*B50/100</f>
        <v>742573499912034.38</v>
      </c>
      <c r="D50" s="217">
        <f>D38</f>
        <v>14923578</v>
      </c>
      <c r="E50" s="220">
        <f>A50*D50/100</f>
        <v>95029948993061.875</v>
      </c>
      <c r="F50" s="217">
        <f>F38</f>
        <v>0</v>
      </c>
      <c r="G50" s="220">
        <f>A50*F50/100</f>
        <v>0</v>
      </c>
      <c r="H50" s="217">
        <f>H38</f>
        <v>0</v>
      </c>
      <c r="I50" s="214"/>
      <c r="J50" s="214"/>
      <c r="K50" s="214"/>
      <c r="L50" s="214"/>
      <c r="M50" s="228">
        <f>AF29</f>
        <v>0</v>
      </c>
      <c r="N50" s="220">
        <f>A50*H50/100</f>
        <v>0</v>
      </c>
    </row>
    <row r="51" spans="1:14">
      <c r="A51" s="213"/>
      <c r="B51" s="213"/>
      <c r="C51" s="213"/>
      <c r="D51" s="213"/>
      <c r="E51" s="213"/>
      <c r="F51" s="213"/>
      <c r="G51" s="213"/>
      <c r="H51" s="213"/>
      <c r="I51" s="214"/>
      <c r="J51" s="214"/>
      <c r="K51" s="214"/>
      <c r="L51" s="214"/>
      <c r="M51" s="215"/>
      <c r="N51" s="213"/>
    </row>
  </sheetData>
  <mergeCells count="84">
    <mergeCell ref="L19:L23"/>
    <mergeCell ref="G8:G26"/>
    <mergeCell ref="H8:H14"/>
    <mergeCell ref="I8:I14"/>
    <mergeCell ref="J8:J14"/>
    <mergeCell ref="K8:K14"/>
    <mergeCell ref="H15:H18"/>
    <mergeCell ref="AT8:AT26"/>
    <mergeCell ref="M13:M14"/>
    <mergeCell ref="U13:U14"/>
    <mergeCell ref="V13:V14"/>
    <mergeCell ref="W13:W14"/>
    <mergeCell ref="Y13:Y14"/>
    <mergeCell ref="M8:M12"/>
    <mergeCell ref="Y15:Y18"/>
    <mergeCell ref="U8:U12"/>
    <mergeCell ref="V8:V12"/>
    <mergeCell ref="W8:W12"/>
    <mergeCell ref="Y8:Y12"/>
    <mergeCell ref="U19:U23"/>
    <mergeCell ref="V19:V23"/>
    <mergeCell ref="V24:V26"/>
    <mergeCell ref="M15:M18"/>
    <mergeCell ref="U15:U18"/>
    <mergeCell ref="V15:V18"/>
    <mergeCell ref="W15:W18"/>
    <mergeCell ref="A43:O43"/>
    <mergeCell ref="W27:W28"/>
    <mergeCell ref="M24:M26"/>
    <mergeCell ref="U24:U26"/>
    <mergeCell ref="W24:W26"/>
    <mergeCell ref="M19:M23"/>
    <mergeCell ref="A27:N28"/>
    <mergeCell ref="A31:O31"/>
    <mergeCell ref="A36:N36"/>
    <mergeCell ref="H19:H26"/>
    <mergeCell ref="I19:I26"/>
    <mergeCell ref="J19:J26"/>
    <mergeCell ref="K19:K26"/>
    <mergeCell ref="A48:N48"/>
    <mergeCell ref="T6:T7"/>
    <mergeCell ref="U6:Y6"/>
    <mergeCell ref="Z6:AF6"/>
    <mergeCell ref="H6:K6"/>
    <mergeCell ref="I15:I18"/>
    <mergeCell ref="J15:J18"/>
    <mergeCell ref="K15:K18"/>
    <mergeCell ref="A8:A26"/>
    <mergeCell ref="B8:B26"/>
    <mergeCell ref="C8:C26"/>
    <mergeCell ref="D8:D26"/>
    <mergeCell ref="E8:E26"/>
    <mergeCell ref="F8:F26"/>
    <mergeCell ref="L15:L18"/>
    <mergeCell ref="Y27:Y28"/>
    <mergeCell ref="A1:AS1"/>
    <mergeCell ref="AU1:AY1"/>
    <mergeCell ref="A2:AS2"/>
    <mergeCell ref="L6:L7"/>
    <mergeCell ref="M6:M7"/>
    <mergeCell ref="N6:N7"/>
    <mergeCell ref="O6:O7"/>
    <mergeCell ref="P6:P7"/>
    <mergeCell ref="Q6:Q7"/>
    <mergeCell ref="R6:R7"/>
    <mergeCell ref="S6:S7"/>
    <mergeCell ref="A5:AS5"/>
    <mergeCell ref="A6:B6"/>
    <mergeCell ref="C6:F6"/>
    <mergeCell ref="B3:AS3"/>
    <mergeCell ref="A4:AS4"/>
    <mergeCell ref="AI27:AI28"/>
    <mergeCell ref="AR6:AR7"/>
    <mergeCell ref="AS6:AS7"/>
    <mergeCell ref="W19:W23"/>
    <mergeCell ref="Y19:Y23"/>
    <mergeCell ref="AD27:AD28"/>
    <mergeCell ref="AE27:AE28"/>
    <mergeCell ref="AF27:AF28"/>
    <mergeCell ref="AG27:AG28"/>
    <mergeCell ref="AH27:AH28"/>
    <mergeCell ref="Y24:Y26"/>
    <mergeCell ref="X8:X12"/>
    <mergeCell ref="X13:X1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6BBF-2531-449A-B83D-4ADB83F305E8}">
  <dimension ref="A1:AY69"/>
  <sheetViews>
    <sheetView topLeftCell="A29" zoomScale="60" zoomScaleNormal="60" workbookViewId="0">
      <selection activeCell="D47" sqref="D47"/>
    </sheetView>
  </sheetViews>
  <sheetFormatPr defaultColWidth="11.375" defaultRowHeight="14.25"/>
  <cols>
    <col min="1" max="2" width="28.375" style="3" customWidth="1"/>
    <col min="3" max="3" width="24" style="3" customWidth="1"/>
    <col min="4" max="4" width="30.375" style="3" customWidth="1"/>
    <col min="5" max="5" width="24.375" style="3" customWidth="1"/>
    <col min="6" max="6" width="18.375" style="3" customWidth="1"/>
    <col min="7" max="7" width="20.25" style="3" customWidth="1"/>
    <col min="8" max="8" width="37.375" style="3" customWidth="1"/>
    <col min="9" max="9" width="15" style="3" hidden="1" customWidth="1"/>
    <col min="10" max="11" width="12.75" style="2" hidden="1" customWidth="1"/>
    <col min="12" max="12" width="38.375" style="2" hidden="1" customWidth="1"/>
    <col min="13" max="13" width="57.375" style="2" hidden="1" customWidth="1"/>
    <col min="14" max="14" width="38.125" style="5" customWidth="1"/>
    <col min="15" max="16" width="15" style="3" customWidth="1"/>
    <col min="17" max="17" width="16.25" style="3" customWidth="1"/>
    <col min="18" max="18" width="16.75" style="3" customWidth="1"/>
    <col min="19" max="19" width="16.875" style="3" customWidth="1"/>
    <col min="20" max="20" width="18" style="3" customWidth="1"/>
    <col min="21" max="21" width="20.125" style="3" customWidth="1"/>
    <col min="22" max="22" width="21.375" style="3" customWidth="1"/>
    <col min="23" max="23" width="27.75" style="7" customWidth="1"/>
    <col min="24" max="24" width="25.375" style="7" bestFit="1" customWidth="1"/>
    <col min="25" max="34" width="25.375" style="7" customWidth="1"/>
    <col min="35" max="37" width="34.25" style="7" customWidth="1"/>
    <col min="38" max="42" width="43.875" style="7" customWidth="1"/>
    <col min="43" max="43" width="20" style="3" customWidth="1"/>
    <col min="44" max="44" width="20.125" style="3" customWidth="1"/>
    <col min="45" max="45" width="30.25" style="2" hidden="1" customWidth="1"/>
    <col min="46" max="47" width="17.375" style="2" customWidth="1"/>
    <col min="48" max="48" width="21.125" style="2" customWidth="1"/>
    <col min="49" max="49" width="16.75" style="2" customWidth="1"/>
    <col min="50" max="50" width="20.125" style="2" customWidth="1"/>
    <col min="51" max="16384" width="11.375" style="2"/>
  </cols>
  <sheetData>
    <row r="1" spans="1:51" s="1" customFormat="1" ht="30.75" customHeight="1" thickTop="1" thickBot="1">
      <c r="A1" s="1094"/>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9"/>
      <c r="AT1" s="1095" t="s">
        <v>1</v>
      </c>
      <c r="AU1" s="1095"/>
      <c r="AV1" s="1095"/>
      <c r="AW1" s="1095"/>
      <c r="AX1" s="1096"/>
    </row>
    <row r="2" spans="1:51" s="1" customFormat="1" ht="27.95" customHeight="1" thickTop="1" thickBot="1">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19"/>
      <c r="AT2" s="206" t="s">
        <v>3</v>
      </c>
      <c r="AU2" s="18" t="s">
        <v>4</v>
      </c>
      <c r="AV2" s="16" t="s">
        <v>5</v>
      </c>
      <c r="AW2" s="16" t="s">
        <v>6</v>
      </c>
      <c r="AX2" s="16" t="s">
        <v>7</v>
      </c>
    </row>
    <row r="3" spans="1:51" s="1" customFormat="1" ht="25.5" customHeight="1" thickTop="1" thickBot="1">
      <c r="A3" s="209"/>
      <c r="B3" s="1147" t="s">
        <v>730</v>
      </c>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c r="AI3" s="1148"/>
      <c r="AJ3" s="1148"/>
      <c r="AK3" s="1148"/>
      <c r="AL3" s="1148"/>
      <c r="AM3" s="1148"/>
      <c r="AN3" s="1148"/>
      <c r="AO3" s="1148"/>
      <c r="AP3" s="1148"/>
      <c r="AQ3" s="1148"/>
      <c r="AR3" s="1149"/>
      <c r="AS3" s="19"/>
      <c r="AT3" s="1280"/>
      <c r="AU3" s="1258"/>
      <c r="AV3" s="1259"/>
      <c r="AW3" s="1260"/>
      <c r="AX3" s="17"/>
    </row>
    <row r="4" spans="1:51" s="1" customFormat="1" ht="27.95" customHeight="1" thickTop="1" thickBot="1">
      <c r="A4" s="1150" t="s">
        <v>1225</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2"/>
      <c r="AS4" s="19"/>
      <c r="AT4" s="1280"/>
      <c r="AU4" s="1258"/>
      <c r="AV4" s="1259"/>
      <c r="AW4" s="1260"/>
      <c r="AX4" s="17"/>
    </row>
    <row r="5" spans="1:51" s="1" customFormat="1" ht="27.95" customHeight="1" thickTop="1" thickBot="1">
      <c r="A5" s="853"/>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132"/>
      <c r="AT5" s="1280"/>
      <c r="AU5" s="1258"/>
      <c r="AV5" s="1259"/>
      <c r="AW5" s="1260"/>
      <c r="AX5" s="17"/>
    </row>
    <row r="6" spans="1:51" ht="27.95" customHeight="1" thickBot="1">
      <c r="A6" s="856"/>
      <c r="B6" s="857"/>
      <c r="C6" s="858" t="s">
        <v>10</v>
      </c>
      <c r="D6" s="856"/>
      <c r="E6" s="856"/>
      <c r="F6" s="857"/>
      <c r="G6" s="21"/>
      <c r="H6" s="823" t="s">
        <v>11</v>
      </c>
      <c r="I6" s="823"/>
      <c r="J6" s="823"/>
      <c r="K6" s="823"/>
      <c r="L6" s="855" t="s">
        <v>12</v>
      </c>
      <c r="M6" s="855" t="s">
        <v>13</v>
      </c>
      <c r="N6" s="1145" t="s">
        <v>14</v>
      </c>
      <c r="O6" s="826" t="s">
        <v>971</v>
      </c>
      <c r="P6" s="826" t="s">
        <v>15</v>
      </c>
      <c r="Q6" s="826" t="s">
        <v>17</v>
      </c>
      <c r="R6" s="826" t="s">
        <v>18</v>
      </c>
      <c r="S6" s="826" t="s">
        <v>19</v>
      </c>
      <c r="T6" s="826" t="s">
        <v>20</v>
      </c>
      <c r="U6" s="825" t="s">
        <v>21</v>
      </c>
      <c r="V6" s="825"/>
      <c r="W6" s="825"/>
      <c r="X6" s="825"/>
      <c r="Y6" s="863" t="s">
        <v>22</v>
      </c>
      <c r="Z6" s="864"/>
      <c r="AA6" s="864"/>
      <c r="AB6" s="864"/>
      <c r="AC6" s="864"/>
      <c r="AD6" s="864"/>
      <c r="AE6" s="865"/>
      <c r="AF6" s="203"/>
      <c r="AG6" s="203"/>
      <c r="AH6" s="203"/>
      <c r="AI6" s="203"/>
      <c r="AJ6" s="203"/>
      <c r="AK6" s="203"/>
      <c r="AL6" s="203"/>
      <c r="AM6" s="203"/>
      <c r="AN6" s="203"/>
      <c r="AO6" s="203"/>
      <c r="AP6" s="203"/>
      <c r="AQ6" s="826" t="s">
        <v>23</v>
      </c>
      <c r="AR6" s="820" t="s">
        <v>24</v>
      </c>
      <c r="AS6" s="133"/>
      <c r="AT6" s="18" t="s">
        <v>25</v>
      </c>
      <c r="AU6" s="15" t="s">
        <v>26</v>
      </c>
      <c r="AV6" s="16" t="s">
        <v>27</v>
      </c>
      <c r="AW6" s="16" t="s">
        <v>28</v>
      </c>
      <c r="AX6" s="16" t="s">
        <v>29</v>
      </c>
    </row>
    <row r="7" spans="1:51" ht="68.25" customHeight="1" thickTop="1" thickBot="1">
      <c r="A7" s="20" t="s">
        <v>32</v>
      </c>
      <c r="B7" s="20" t="s">
        <v>33</v>
      </c>
      <c r="C7" s="20" t="s">
        <v>34</v>
      </c>
      <c r="D7" s="20" t="s">
        <v>35</v>
      </c>
      <c r="E7" s="20" t="s">
        <v>36</v>
      </c>
      <c r="F7" s="20" t="s">
        <v>972</v>
      </c>
      <c r="G7" s="20" t="s">
        <v>38</v>
      </c>
      <c r="H7" s="22" t="s">
        <v>39</v>
      </c>
      <c r="I7" s="20" t="s">
        <v>35</v>
      </c>
      <c r="J7" s="20" t="s">
        <v>36</v>
      </c>
      <c r="K7" s="20" t="s">
        <v>972</v>
      </c>
      <c r="L7" s="855"/>
      <c r="M7" s="855"/>
      <c r="N7" s="1146"/>
      <c r="O7" s="827"/>
      <c r="P7" s="827"/>
      <c r="Q7" s="827"/>
      <c r="R7" s="827"/>
      <c r="S7" s="827"/>
      <c r="T7" s="827"/>
      <c r="U7" s="20" t="s">
        <v>41</v>
      </c>
      <c r="V7" s="20" t="s">
        <v>42</v>
      </c>
      <c r="W7" s="4" t="s">
        <v>43</v>
      </c>
      <c r="X7" s="4" t="s">
        <v>44</v>
      </c>
      <c r="Y7" s="4" t="s">
        <v>45</v>
      </c>
      <c r="Z7" s="4" t="s">
        <v>46</v>
      </c>
      <c r="AA7" s="4" t="s">
        <v>47</v>
      </c>
      <c r="AB7" s="4" t="s">
        <v>48</v>
      </c>
      <c r="AC7" s="4" t="s">
        <v>49</v>
      </c>
      <c r="AD7" s="4" t="s">
        <v>50</v>
      </c>
      <c r="AE7" s="4" t="s">
        <v>51</v>
      </c>
      <c r="AF7" s="205" t="s">
        <v>52</v>
      </c>
      <c r="AG7" s="205" t="s">
        <v>53</v>
      </c>
      <c r="AH7" s="205" t="s">
        <v>54</v>
      </c>
      <c r="AI7" s="205" t="s">
        <v>55</v>
      </c>
      <c r="AJ7" s="205" t="s">
        <v>56</v>
      </c>
      <c r="AK7" s="205" t="s">
        <v>58</v>
      </c>
      <c r="AL7" s="205" t="s">
        <v>59</v>
      </c>
      <c r="AM7" s="205" t="s">
        <v>60</v>
      </c>
      <c r="AN7" s="205" t="s">
        <v>61</v>
      </c>
      <c r="AO7" s="205" t="s">
        <v>62</v>
      </c>
      <c r="AP7" s="205" t="s">
        <v>63</v>
      </c>
      <c r="AQ7" s="827"/>
      <c r="AR7" s="821" t="s">
        <v>24</v>
      </c>
      <c r="AS7" s="133"/>
    </row>
    <row r="8" spans="1:51" s="1" customFormat="1" ht="152.25" customHeight="1" thickBot="1">
      <c r="A8" s="903" t="s">
        <v>471</v>
      </c>
      <c r="B8" s="906" t="s">
        <v>472</v>
      </c>
      <c r="C8" s="110" t="s">
        <v>473</v>
      </c>
      <c r="D8" s="110" t="s">
        <v>93</v>
      </c>
      <c r="E8" s="110" t="s">
        <v>69</v>
      </c>
      <c r="F8" s="110">
        <v>90</v>
      </c>
      <c r="G8" s="906" t="s">
        <v>474</v>
      </c>
      <c r="H8" s="111" t="s">
        <v>475</v>
      </c>
      <c r="I8" s="111" t="s">
        <v>93</v>
      </c>
      <c r="J8" s="112">
        <v>50</v>
      </c>
      <c r="K8" s="112">
        <v>100</v>
      </c>
      <c r="L8" s="113"/>
      <c r="M8" s="112" t="s">
        <v>476</v>
      </c>
      <c r="N8" s="152" t="s">
        <v>1226</v>
      </c>
      <c r="O8" s="110">
        <v>130</v>
      </c>
      <c r="P8" s="110" t="s">
        <v>72</v>
      </c>
      <c r="Q8" s="110">
        <v>20</v>
      </c>
      <c r="R8" s="110">
        <v>30</v>
      </c>
      <c r="S8" s="110">
        <v>40</v>
      </c>
      <c r="T8" s="110">
        <v>40</v>
      </c>
      <c r="U8" s="131" t="s">
        <v>1015</v>
      </c>
      <c r="V8" s="110"/>
      <c r="W8" s="114">
        <v>35784633.606720001</v>
      </c>
      <c r="X8" s="114">
        <f>W8</f>
        <v>35784633.606720001</v>
      </c>
      <c r="Y8" s="126"/>
      <c r="Z8" s="126"/>
      <c r="AA8" s="126"/>
      <c r="AB8" s="126"/>
      <c r="AC8" s="126">
        <f>+(39576565+10017702+28235560+14658056+16555564+13387500+4250077)/10</f>
        <v>12668102.4</v>
      </c>
      <c r="AD8" s="126">
        <f>+(39576565+10017702+28235560+14658056+16555564+13387500+4250077)/10</f>
        <v>12668102.4</v>
      </c>
      <c r="AE8" s="126"/>
      <c r="AF8" s="120"/>
      <c r="AG8" s="120"/>
      <c r="AH8" s="120"/>
      <c r="AI8" s="120"/>
      <c r="AJ8" s="120"/>
      <c r="AK8" s="120"/>
      <c r="AL8" s="120"/>
      <c r="AM8" s="120"/>
      <c r="AN8" s="120"/>
      <c r="AO8" s="120"/>
      <c r="AP8" s="120"/>
      <c r="AQ8" s="110" t="s">
        <v>479</v>
      </c>
      <c r="AR8" s="110" t="s">
        <v>479</v>
      </c>
      <c r="AS8" s="788" t="s">
        <v>1227</v>
      </c>
      <c r="AV8" s="1">
        <v>222558546.06720001</v>
      </c>
      <c r="AW8" s="1">
        <v>135287790</v>
      </c>
      <c r="AX8" s="1">
        <f>+AV8+AW8</f>
        <v>357846336.06720001</v>
      </c>
      <c r="AY8" s="1">
        <f>+AX8/10</f>
        <v>35784633.606720001</v>
      </c>
    </row>
    <row r="9" spans="1:51" s="1" customFormat="1" ht="117" customHeight="1" thickBot="1">
      <c r="A9" s="907"/>
      <c r="B9" s="908"/>
      <c r="C9" s="115" t="s">
        <v>481</v>
      </c>
      <c r="D9" s="115" t="s">
        <v>93</v>
      </c>
      <c r="E9" s="115" t="s">
        <v>69</v>
      </c>
      <c r="F9" s="115">
        <v>83</v>
      </c>
      <c r="G9" s="908"/>
      <c r="H9" s="116" t="s">
        <v>482</v>
      </c>
      <c r="I9" s="116" t="s">
        <v>93</v>
      </c>
      <c r="J9" s="117">
        <v>50</v>
      </c>
      <c r="K9" s="117">
        <v>100</v>
      </c>
      <c r="L9" s="118"/>
      <c r="M9" s="117" t="s">
        <v>483</v>
      </c>
      <c r="N9" s="119" t="s">
        <v>1228</v>
      </c>
      <c r="O9" s="115">
        <v>26</v>
      </c>
      <c r="P9" s="115" t="s">
        <v>485</v>
      </c>
      <c r="Q9" s="115">
        <v>7</v>
      </c>
      <c r="R9" s="115">
        <v>6</v>
      </c>
      <c r="S9" s="115">
        <v>7</v>
      </c>
      <c r="T9" s="115">
        <v>6</v>
      </c>
      <c r="U9" s="131" t="s">
        <v>1015</v>
      </c>
      <c r="V9" s="115"/>
      <c r="W9" s="120">
        <v>35784633.606720001</v>
      </c>
      <c r="X9" s="114">
        <f t="shared" ref="X9:X24" si="0">W9</f>
        <v>35784633.606720001</v>
      </c>
      <c r="Y9" s="126"/>
      <c r="Z9" s="126"/>
      <c r="AA9" s="126"/>
      <c r="AB9" s="126"/>
      <c r="AC9" s="126">
        <f>+(39576565+10017702+28235560+14658056+16555564+13387500+4250077)/10</f>
        <v>12668102.4</v>
      </c>
      <c r="AD9" s="126">
        <f>+(39576565+10017702+28235560+14658056+16555564+13387500+4250077)/10</f>
        <v>12668102.4</v>
      </c>
      <c r="AE9" s="126"/>
      <c r="AF9" s="120"/>
      <c r="AG9" s="120"/>
      <c r="AH9" s="120"/>
      <c r="AI9" s="120"/>
      <c r="AJ9" s="120"/>
      <c r="AK9" s="120"/>
      <c r="AL9" s="120"/>
      <c r="AM9" s="120"/>
      <c r="AN9" s="120"/>
      <c r="AO9" s="120"/>
      <c r="AP9" s="120"/>
      <c r="AQ9" s="110" t="s">
        <v>479</v>
      </c>
      <c r="AR9" s="110" t="s">
        <v>479</v>
      </c>
      <c r="AS9" s="789"/>
      <c r="AY9" s="1">
        <v>35784633.606720001</v>
      </c>
    </row>
    <row r="10" spans="1:51" s="1" customFormat="1" ht="82.5" customHeight="1" thickBot="1">
      <c r="A10" s="1209" t="s">
        <v>979</v>
      </c>
      <c r="B10" s="1210"/>
      <c r="C10" s="1210"/>
      <c r="D10" s="1210"/>
      <c r="E10" s="1210"/>
      <c r="F10" s="1210"/>
      <c r="G10" s="1210"/>
      <c r="H10" s="1210"/>
      <c r="I10" s="1210"/>
      <c r="J10" s="1210"/>
      <c r="K10" s="1210"/>
      <c r="L10" s="1210"/>
      <c r="M10" s="1210"/>
      <c r="N10" s="1211"/>
      <c r="O10" s="235">
        <f>SUM(O8:O9)</f>
        <v>156</v>
      </c>
      <c r="P10" s="235" t="s">
        <v>142</v>
      </c>
      <c r="Q10" s="235">
        <f>SUM(Q8:Q9)</f>
        <v>27</v>
      </c>
      <c r="R10" s="235">
        <f t="shared" ref="R10:T10" si="1">SUM(R8:R9)</f>
        <v>36</v>
      </c>
      <c r="S10" s="235">
        <f t="shared" si="1"/>
        <v>47</v>
      </c>
      <c r="T10" s="235">
        <f t="shared" si="1"/>
        <v>46</v>
      </c>
      <c r="U10" s="252"/>
      <c r="V10" s="235"/>
      <c r="W10" s="247">
        <f>SUM(W8:W9)</f>
        <v>71569267.213440001</v>
      </c>
      <c r="X10" s="247">
        <f>SUM(X8:X9)</f>
        <v>71569267.213440001</v>
      </c>
      <c r="Y10" s="235">
        <f>SUM(Y8:Y9)</f>
        <v>0</v>
      </c>
      <c r="Z10" s="235">
        <f t="shared" ref="Z10:AB10" si="2">SUM(Z8:Z9)</f>
        <v>0</v>
      </c>
      <c r="AA10" s="235">
        <f t="shared" si="2"/>
        <v>0</v>
      </c>
      <c r="AB10" s="235">
        <f t="shared" si="2"/>
        <v>0</v>
      </c>
      <c r="AC10" s="247">
        <f>SUM(AC8:AC9)</f>
        <v>25336204.800000001</v>
      </c>
      <c r="AD10" s="247">
        <f t="shared" ref="AD10:AH10" si="3">SUM(AD8:AD9)</f>
        <v>25336204.800000001</v>
      </c>
      <c r="AE10" s="247">
        <f t="shared" si="3"/>
        <v>0</v>
      </c>
      <c r="AF10" s="247">
        <f t="shared" si="3"/>
        <v>0</v>
      </c>
      <c r="AG10" s="247">
        <f t="shared" si="3"/>
        <v>0</v>
      </c>
      <c r="AH10" s="247">
        <f t="shared" si="3"/>
        <v>0</v>
      </c>
      <c r="AI10" s="247"/>
      <c r="AJ10" s="247"/>
      <c r="AK10" s="247"/>
      <c r="AL10" s="247"/>
      <c r="AM10" s="247"/>
      <c r="AN10" s="247"/>
      <c r="AO10" s="247"/>
      <c r="AP10" s="247"/>
      <c r="AQ10" s="237"/>
      <c r="AR10" s="237"/>
      <c r="AS10" s="789"/>
    </row>
    <row r="11" spans="1:51" s="1" customFormat="1" ht="111.75" customHeight="1" thickBot="1">
      <c r="A11" s="909" t="s">
        <v>489</v>
      </c>
      <c r="B11" s="810" t="s">
        <v>490</v>
      </c>
      <c r="C11" s="121" t="s">
        <v>491</v>
      </c>
      <c r="D11" s="115" t="s">
        <v>93</v>
      </c>
      <c r="E11" s="115" t="s">
        <v>69</v>
      </c>
      <c r="F11" s="121">
        <v>75</v>
      </c>
      <c r="G11" s="810" t="s">
        <v>492</v>
      </c>
      <c r="H11" s="116" t="s">
        <v>493</v>
      </c>
      <c r="I11" s="122" t="s">
        <v>93</v>
      </c>
      <c r="J11" s="123">
        <v>60</v>
      </c>
      <c r="K11" s="123">
        <v>80</v>
      </c>
      <c r="L11" s="124"/>
      <c r="M11" s="115" t="s">
        <v>494</v>
      </c>
      <c r="N11" s="125" t="s">
        <v>1229</v>
      </c>
      <c r="O11" s="121">
        <v>85</v>
      </c>
      <c r="P11" s="121" t="s">
        <v>93</v>
      </c>
      <c r="Q11" s="121">
        <v>70</v>
      </c>
      <c r="R11" s="121" t="s">
        <v>1230</v>
      </c>
      <c r="S11" s="121" t="s">
        <v>1231</v>
      </c>
      <c r="T11" s="121" t="s">
        <v>1232</v>
      </c>
      <c r="U11" s="131" t="s">
        <v>1015</v>
      </c>
      <c r="V11" s="121"/>
      <c r="W11" s="126">
        <v>35784633.606720001</v>
      </c>
      <c r="X11" s="114">
        <f t="shared" si="0"/>
        <v>35784633.606720001</v>
      </c>
      <c r="Y11" s="267"/>
      <c r="Z11" s="267"/>
      <c r="AA11" s="267"/>
      <c r="AB11" s="267"/>
      <c r="AC11" s="126">
        <f>+(39576565+10017702+28235560+14658056+16555564+13387500+4250077)/10</f>
        <v>12668102.4</v>
      </c>
      <c r="AD11" s="126">
        <f>+(39576565+10017702+28235560+14658056+16555564+13387500+4250077)/10</f>
        <v>12668102.4</v>
      </c>
      <c r="AE11" s="126"/>
      <c r="AF11" s="120"/>
      <c r="AG11" s="120"/>
      <c r="AH11" s="120"/>
      <c r="AI11" s="120"/>
      <c r="AJ11" s="120"/>
      <c r="AK11" s="120"/>
      <c r="AL11" s="120"/>
      <c r="AM11" s="120"/>
      <c r="AN11" s="120"/>
      <c r="AO11" s="120"/>
      <c r="AP11" s="120"/>
      <c r="AQ11" s="110" t="s">
        <v>479</v>
      </c>
      <c r="AR11" s="110" t="s">
        <v>479</v>
      </c>
      <c r="AS11" s="789"/>
    </row>
    <row r="12" spans="1:51" s="1" customFormat="1" ht="93" customHeight="1" thickBot="1">
      <c r="A12" s="904"/>
      <c r="B12" s="902"/>
      <c r="C12" s="121" t="s">
        <v>497</v>
      </c>
      <c r="D12" s="115" t="s">
        <v>93</v>
      </c>
      <c r="E12" s="115">
        <v>75</v>
      </c>
      <c r="F12" s="121">
        <v>75</v>
      </c>
      <c r="G12" s="902"/>
      <c r="H12" s="122" t="s">
        <v>498</v>
      </c>
      <c r="I12" s="122" t="s">
        <v>340</v>
      </c>
      <c r="J12" s="123">
        <v>1</v>
      </c>
      <c r="K12" s="123">
        <v>1</v>
      </c>
      <c r="L12" s="124"/>
      <c r="M12" s="123" t="s">
        <v>499</v>
      </c>
      <c r="N12" s="125" t="s">
        <v>1233</v>
      </c>
      <c r="O12" s="121">
        <v>1</v>
      </c>
      <c r="P12" s="121" t="s">
        <v>72</v>
      </c>
      <c r="Q12" s="121">
        <v>0</v>
      </c>
      <c r="R12" s="121">
        <v>1</v>
      </c>
      <c r="S12" s="121">
        <v>0</v>
      </c>
      <c r="T12" s="121">
        <v>0</v>
      </c>
      <c r="U12" s="131" t="s">
        <v>1015</v>
      </c>
      <c r="V12" s="121"/>
      <c r="W12" s="126">
        <v>35784633.606720001</v>
      </c>
      <c r="X12" s="114">
        <f t="shared" si="0"/>
        <v>35784633.606720001</v>
      </c>
      <c r="Y12" s="267"/>
      <c r="Z12" s="267"/>
      <c r="AA12" s="267"/>
      <c r="AB12" s="267"/>
      <c r="AC12" s="126">
        <f>+(39576565+10017702+28235560+14658056+16555564+13387500+4250077)/10</f>
        <v>12668102.4</v>
      </c>
      <c r="AD12" s="126">
        <f>+(39576565+10017702+28235560+14658056+16555564+13387500+4250077)/10</f>
        <v>12668102.4</v>
      </c>
      <c r="AE12" s="126"/>
      <c r="AF12" s="120"/>
      <c r="AG12" s="120"/>
      <c r="AH12" s="120"/>
      <c r="AI12" s="120"/>
      <c r="AJ12" s="120"/>
      <c r="AK12" s="120"/>
      <c r="AL12" s="120"/>
      <c r="AM12" s="120"/>
      <c r="AN12" s="120"/>
      <c r="AO12" s="120"/>
      <c r="AP12" s="120"/>
      <c r="AQ12" s="110" t="s">
        <v>479</v>
      </c>
      <c r="AR12" s="110" t="s">
        <v>479</v>
      </c>
      <c r="AS12" s="789"/>
    </row>
    <row r="13" spans="1:51" s="1" customFormat="1" ht="120.75" customHeight="1" thickBot="1">
      <c r="A13" s="904"/>
      <c r="B13" s="902"/>
      <c r="C13" s="810" t="s">
        <v>504</v>
      </c>
      <c r="D13" s="810" t="s">
        <v>93</v>
      </c>
      <c r="E13" s="810">
        <v>75</v>
      </c>
      <c r="F13" s="810">
        <v>75</v>
      </c>
      <c r="G13" s="902"/>
      <c r="H13" s="122" t="s">
        <v>505</v>
      </c>
      <c r="I13" s="122" t="s">
        <v>93</v>
      </c>
      <c r="J13" s="123" t="s">
        <v>69</v>
      </c>
      <c r="K13" s="123">
        <v>95</v>
      </c>
      <c r="L13" s="124"/>
      <c r="M13" s="828" t="s">
        <v>506</v>
      </c>
      <c r="N13" s="125" t="s">
        <v>1234</v>
      </c>
      <c r="O13" s="121">
        <v>95</v>
      </c>
      <c r="P13" s="121" t="s">
        <v>98</v>
      </c>
      <c r="Q13" s="121">
        <v>20</v>
      </c>
      <c r="R13" s="121">
        <v>25</v>
      </c>
      <c r="S13" s="121">
        <v>20</v>
      </c>
      <c r="T13" s="121">
        <v>30</v>
      </c>
      <c r="U13" s="121" t="s">
        <v>975</v>
      </c>
      <c r="V13" s="121"/>
      <c r="W13" s="126">
        <v>23200000</v>
      </c>
      <c r="X13" s="114">
        <f t="shared" si="0"/>
        <v>23200000</v>
      </c>
      <c r="Y13" s="267"/>
      <c r="Z13" s="267"/>
      <c r="AA13" s="267"/>
      <c r="AB13" s="267"/>
      <c r="AC13" s="126">
        <v>0</v>
      </c>
      <c r="AD13" s="126">
        <v>0</v>
      </c>
      <c r="AE13" s="126"/>
      <c r="AF13" s="120"/>
      <c r="AG13" s="120"/>
      <c r="AH13" s="120"/>
      <c r="AI13" s="120"/>
      <c r="AJ13" s="120"/>
      <c r="AK13" s="120"/>
      <c r="AL13" s="120"/>
      <c r="AM13" s="120"/>
      <c r="AN13" s="120"/>
      <c r="AO13" s="120"/>
      <c r="AP13" s="120"/>
      <c r="AQ13" s="110" t="s">
        <v>479</v>
      </c>
      <c r="AR13" s="110" t="s">
        <v>479</v>
      </c>
      <c r="AS13" s="789"/>
    </row>
    <row r="14" spans="1:51" s="1" customFormat="1" ht="93" customHeight="1" thickBot="1">
      <c r="A14" s="904"/>
      <c r="B14" s="902"/>
      <c r="C14" s="902"/>
      <c r="D14" s="902"/>
      <c r="E14" s="902"/>
      <c r="F14" s="902"/>
      <c r="G14" s="902"/>
      <c r="H14" s="122" t="s">
        <v>512</v>
      </c>
      <c r="I14" s="122" t="s">
        <v>93</v>
      </c>
      <c r="J14" s="123" t="s">
        <v>69</v>
      </c>
      <c r="K14" s="123">
        <v>90</v>
      </c>
      <c r="L14" s="124"/>
      <c r="M14" s="829"/>
      <c r="N14" s="125" t="s">
        <v>1235</v>
      </c>
      <c r="O14" s="121">
        <v>90</v>
      </c>
      <c r="P14" s="121" t="s">
        <v>93</v>
      </c>
      <c r="Q14" s="121">
        <v>15</v>
      </c>
      <c r="R14" s="121">
        <v>23</v>
      </c>
      <c r="S14" s="121">
        <v>31</v>
      </c>
      <c r="T14" s="121">
        <v>31</v>
      </c>
      <c r="U14" s="121" t="s">
        <v>1236</v>
      </c>
      <c r="V14" s="121"/>
      <c r="W14" s="126">
        <v>30000000</v>
      </c>
      <c r="X14" s="114">
        <f t="shared" si="0"/>
        <v>30000000</v>
      </c>
      <c r="Y14" s="267"/>
      <c r="Z14" s="267"/>
      <c r="AA14" s="267"/>
      <c r="AB14" s="267"/>
      <c r="AC14" s="126">
        <v>0</v>
      </c>
      <c r="AD14" s="126">
        <v>0</v>
      </c>
      <c r="AE14" s="126"/>
      <c r="AF14" s="120"/>
      <c r="AG14" s="120"/>
      <c r="AH14" s="120"/>
      <c r="AI14" s="120"/>
      <c r="AJ14" s="120"/>
      <c r="AK14" s="120"/>
      <c r="AL14" s="120"/>
      <c r="AM14" s="120"/>
      <c r="AN14" s="120"/>
      <c r="AO14" s="120"/>
      <c r="AP14" s="120"/>
      <c r="AQ14" s="110" t="s">
        <v>479</v>
      </c>
      <c r="AR14" s="110" t="s">
        <v>479</v>
      </c>
      <c r="AS14" s="789"/>
    </row>
    <row r="15" spans="1:51" s="1" customFormat="1" ht="93" customHeight="1" thickBot="1">
      <c r="A15" s="904"/>
      <c r="B15" s="902"/>
      <c r="C15" s="902"/>
      <c r="D15" s="902"/>
      <c r="E15" s="902"/>
      <c r="F15" s="902"/>
      <c r="G15" s="902"/>
      <c r="H15" s="122" t="s">
        <v>518</v>
      </c>
      <c r="I15" s="122" t="s">
        <v>93</v>
      </c>
      <c r="J15" s="123" t="s">
        <v>69</v>
      </c>
      <c r="K15" s="123">
        <v>90</v>
      </c>
      <c r="L15" s="124"/>
      <c r="M15" s="829"/>
      <c r="N15" s="125" t="s">
        <v>1237</v>
      </c>
      <c r="O15" s="121">
        <v>90</v>
      </c>
      <c r="P15" s="121" t="s">
        <v>98</v>
      </c>
      <c r="Q15" s="121">
        <v>10</v>
      </c>
      <c r="R15" s="121">
        <v>20</v>
      </c>
      <c r="S15" s="121">
        <v>40</v>
      </c>
      <c r="T15" s="121">
        <v>20</v>
      </c>
      <c r="U15" s="131" t="s">
        <v>1015</v>
      </c>
      <c r="V15" s="121"/>
      <c r="W15" s="126">
        <v>35784633.606720001</v>
      </c>
      <c r="X15" s="114">
        <f t="shared" si="0"/>
        <v>35784633.606720001</v>
      </c>
      <c r="Y15" s="267">
        <v>0</v>
      </c>
      <c r="Z15" s="267"/>
      <c r="AA15" s="267"/>
      <c r="AB15" s="267"/>
      <c r="AC15" s="126">
        <f t="shared" ref="AC15:AD16" si="4">+(39576565+10017702+28235560+14658056+16555564+13387500+4250077)/10</f>
        <v>12668102.4</v>
      </c>
      <c r="AD15" s="126">
        <f t="shared" si="4"/>
        <v>12668102.4</v>
      </c>
      <c r="AE15" s="126"/>
      <c r="AF15" s="120"/>
      <c r="AG15" s="120"/>
      <c r="AH15" s="120"/>
      <c r="AI15" s="120"/>
      <c r="AJ15" s="120"/>
      <c r="AK15" s="120"/>
      <c r="AL15" s="120"/>
      <c r="AM15" s="120"/>
      <c r="AN15" s="120"/>
      <c r="AO15" s="120"/>
      <c r="AP15" s="120"/>
      <c r="AQ15" s="110" t="s">
        <v>479</v>
      </c>
      <c r="AR15" s="110" t="s">
        <v>479</v>
      </c>
      <c r="AS15" s="789"/>
    </row>
    <row r="16" spans="1:51" s="1" customFormat="1" ht="93" customHeight="1" thickBot="1">
      <c r="A16" s="904"/>
      <c r="B16" s="902"/>
      <c r="C16" s="902"/>
      <c r="D16" s="902"/>
      <c r="E16" s="902"/>
      <c r="F16" s="902"/>
      <c r="G16" s="902"/>
      <c r="H16" s="122" t="s">
        <v>524</v>
      </c>
      <c r="I16" s="122" t="s">
        <v>93</v>
      </c>
      <c r="J16" s="123" t="s">
        <v>69</v>
      </c>
      <c r="K16" s="123">
        <v>90</v>
      </c>
      <c r="L16" s="124"/>
      <c r="M16" s="829"/>
      <c r="N16" s="125" t="s">
        <v>1238</v>
      </c>
      <c r="O16" s="121">
        <v>90</v>
      </c>
      <c r="P16" s="121" t="s">
        <v>93</v>
      </c>
      <c r="Q16" s="121">
        <v>25</v>
      </c>
      <c r="R16" s="121">
        <v>25</v>
      </c>
      <c r="S16" s="121">
        <v>25</v>
      </c>
      <c r="T16" s="121">
        <v>20</v>
      </c>
      <c r="U16" s="131" t="s">
        <v>1015</v>
      </c>
      <c r="V16" s="121"/>
      <c r="W16" s="126">
        <v>35784633.606720001</v>
      </c>
      <c r="X16" s="114">
        <f t="shared" si="0"/>
        <v>35784633.606720001</v>
      </c>
      <c r="Y16" s="267">
        <v>0</v>
      </c>
      <c r="Z16" s="267"/>
      <c r="AA16" s="267"/>
      <c r="AB16" s="267"/>
      <c r="AC16" s="126">
        <f t="shared" si="4"/>
        <v>12668102.4</v>
      </c>
      <c r="AD16" s="126">
        <f t="shared" si="4"/>
        <v>12668102.4</v>
      </c>
      <c r="AE16" s="126"/>
      <c r="AF16" s="120"/>
      <c r="AG16" s="120"/>
      <c r="AH16" s="120"/>
      <c r="AI16" s="120"/>
      <c r="AJ16" s="120"/>
      <c r="AK16" s="120"/>
      <c r="AL16" s="120"/>
      <c r="AM16" s="120"/>
      <c r="AN16" s="120"/>
      <c r="AO16" s="120"/>
      <c r="AP16" s="120"/>
      <c r="AQ16" s="110" t="s">
        <v>479</v>
      </c>
      <c r="AR16" s="110" t="s">
        <v>479</v>
      </c>
      <c r="AS16" s="789"/>
    </row>
    <row r="17" spans="1:45" s="1" customFormat="1" ht="136.5" customHeight="1" thickBot="1">
      <c r="A17" s="904"/>
      <c r="B17" s="902"/>
      <c r="C17" s="902"/>
      <c r="D17" s="902"/>
      <c r="E17" s="902"/>
      <c r="F17" s="902"/>
      <c r="G17" s="902"/>
      <c r="H17" s="122" t="s">
        <v>530</v>
      </c>
      <c r="I17" s="122" t="s">
        <v>93</v>
      </c>
      <c r="J17" s="123" t="s">
        <v>69</v>
      </c>
      <c r="K17" s="123">
        <v>90</v>
      </c>
      <c r="L17" s="124"/>
      <c r="M17" s="829"/>
      <c r="N17" s="125" t="s">
        <v>1234</v>
      </c>
      <c r="O17" s="121">
        <v>95</v>
      </c>
      <c r="P17" s="121" t="s">
        <v>98</v>
      </c>
      <c r="Q17" s="121">
        <v>20</v>
      </c>
      <c r="R17" s="121">
        <v>25</v>
      </c>
      <c r="S17" s="121">
        <v>20</v>
      </c>
      <c r="T17" s="121">
        <v>30</v>
      </c>
      <c r="U17" s="121" t="s">
        <v>1239</v>
      </c>
      <c r="V17" s="121"/>
      <c r="W17" s="126">
        <v>296472467</v>
      </c>
      <c r="X17" s="114">
        <f t="shared" si="0"/>
        <v>296472467</v>
      </c>
      <c r="Y17" s="267">
        <v>0</v>
      </c>
      <c r="Z17" s="267"/>
      <c r="AA17" s="267"/>
      <c r="AB17" s="267"/>
      <c r="AC17" s="126">
        <v>4823546</v>
      </c>
      <c r="AD17" s="126">
        <v>4823546</v>
      </c>
      <c r="AE17" s="126"/>
      <c r="AF17" s="120"/>
      <c r="AG17" s="120"/>
      <c r="AH17" s="120"/>
      <c r="AI17" s="120"/>
      <c r="AJ17" s="120"/>
      <c r="AK17" s="120"/>
      <c r="AL17" s="120"/>
      <c r="AM17" s="120"/>
      <c r="AN17" s="120"/>
      <c r="AO17" s="120"/>
      <c r="AP17" s="120"/>
      <c r="AQ17" s="110" t="s">
        <v>479</v>
      </c>
      <c r="AR17" s="110" t="s">
        <v>479</v>
      </c>
      <c r="AS17" s="789"/>
    </row>
    <row r="18" spans="1:45" s="1" customFormat="1" ht="123" customHeight="1" thickBot="1">
      <c r="A18" s="904"/>
      <c r="B18" s="902"/>
      <c r="C18" s="902"/>
      <c r="D18" s="902"/>
      <c r="E18" s="902"/>
      <c r="F18" s="902"/>
      <c r="G18" s="902"/>
      <c r="H18" s="122" t="s">
        <v>533</v>
      </c>
      <c r="I18" s="122" t="s">
        <v>93</v>
      </c>
      <c r="J18" s="123" t="s">
        <v>69</v>
      </c>
      <c r="K18" s="123">
        <v>90</v>
      </c>
      <c r="L18" s="124"/>
      <c r="M18" s="829"/>
      <c r="N18" s="125" t="s">
        <v>1234</v>
      </c>
      <c r="O18" s="121">
        <v>95</v>
      </c>
      <c r="P18" s="121" t="s">
        <v>98</v>
      </c>
      <c r="Q18" s="121">
        <v>20</v>
      </c>
      <c r="R18" s="121">
        <v>25</v>
      </c>
      <c r="S18" s="121">
        <v>20</v>
      </c>
      <c r="T18" s="121">
        <v>30</v>
      </c>
      <c r="U18" s="131" t="s">
        <v>1015</v>
      </c>
      <c r="V18" s="121"/>
      <c r="W18" s="126">
        <v>35784633.606720001</v>
      </c>
      <c r="X18" s="114">
        <f t="shared" si="0"/>
        <v>35784633.606720001</v>
      </c>
      <c r="Y18" s="267">
        <v>0</v>
      </c>
      <c r="Z18" s="267"/>
      <c r="AA18" s="267"/>
      <c r="AB18" s="267"/>
      <c r="AC18" s="126">
        <f t="shared" ref="AC18:AD19" si="5">+(39576565+10017702+28235560+14658056+16555564+13387500+4250077)/10</f>
        <v>12668102.4</v>
      </c>
      <c r="AD18" s="126">
        <f t="shared" si="5"/>
        <v>12668102.4</v>
      </c>
      <c r="AE18" s="126"/>
      <c r="AF18" s="120"/>
      <c r="AG18" s="120"/>
      <c r="AH18" s="120"/>
      <c r="AI18" s="120"/>
      <c r="AJ18" s="120"/>
      <c r="AK18" s="120"/>
      <c r="AL18" s="120"/>
      <c r="AM18" s="120"/>
      <c r="AN18" s="120"/>
      <c r="AO18" s="120"/>
      <c r="AP18" s="120"/>
      <c r="AQ18" s="110" t="s">
        <v>479</v>
      </c>
      <c r="AR18" s="110" t="s">
        <v>479</v>
      </c>
      <c r="AS18" s="789"/>
    </row>
    <row r="19" spans="1:45" s="1" customFormat="1" ht="129.75" customHeight="1" thickBot="1">
      <c r="A19" s="907"/>
      <c r="B19" s="908"/>
      <c r="C19" s="908"/>
      <c r="D19" s="908"/>
      <c r="E19" s="908"/>
      <c r="F19" s="908"/>
      <c r="G19" s="908"/>
      <c r="H19" s="122" t="s">
        <v>538</v>
      </c>
      <c r="I19" s="122" t="s">
        <v>93</v>
      </c>
      <c r="J19" s="123" t="s">
        <v>69</v>
      </c>
      <c r="K19" s="123">
        <v>90</v>
      </c>
      <c r="L19" s="124"/>
      <c r="M19" s="831"/>
      <c r="N19" s="125" t="s">
        <v>1240</v>
      </c>
      <c r="O19" s="121">
        <v>100</v>
      </c>
      <c r="P19" s="121" t="s">
        <v>98</v>
      </c>
      <c r="Q19" s="121">
        <v>100</v>
      </c>
      <c r="R19" s="121">
        <v>0</v>
      </c>
      <c r="S19" s="121">
        <v>100</v>
      </c>
      <c r="T19" s="121">
        <v>0</v>
      </c>
      <c r="U19" s="131" t="s">
        <v>1015</v>
      </c>
      <c r="V19" s="121"/>
      <c r="W19" s="126">
        <v>35784633.606720001</v>
      </c>
      <c r="X19" s="114">
        <f t="shared" si="0"/>
        <v>35784633.606720001</v>
      </c>
      <c r="Y19" s="267">
        <v>0</v>
      </c>
      <c r="Z19" s="267"/>
      <c r="AA19" s="267"/>
      <c r="AB19" s="267"/>
      <c r="AC19" s="126">
        <f t="shared" si="5"/>
        <v>12668102.4</v>
      </c>
      <c r="AD19" s="126">
        <f t="shared" si="5"/>
        <v>12668102.4</v>
      </c>
      <c r="AE19" s="126"/>
      <c r="AF19" s="120"/>
      <c r="AG19" s="120"/>
      <c r="AH19" s="120"/>
      <c r="AI19" s="120"/>
      <c r="AJ19" s="120"/>
      <c r="AK19" s="120"/>
      <c r="AL19" s="120"/>
      <c r="AM19" s="120"/>
      <c r="AN19" s="120"/>
      <c r="AO19" s="120"/>
      <c r="AP19" s="120"/>
      <c r="AQ19" s="110" t="s">
        <v>479</v>
      </c>
      <c r="AR19" s="110" t="s">
        <v>479</v>
      </c>
      <c r="AS19" s="789"/>
    </row>
    <row r="20" spans="1:45" s="1" customFormat="1" ht="45" customHeight="1" thickBot="1">
      <c r="A20" s="1203" t="s">
        <v>979</v>
      </c>
      <c r="B20" s="1204"/>
      <c r="C20" s="1204"/>
      <c r="D20" s="1204"/>
      <c r="E20" s="1204"/>
      <c r="F20" s="1204"/>
      <c r="G20" s="1204"/>
      <c r="H20" s="1204"/>
      <c r="I20" s="1204"/>
      <c r="J20" s="1204"/>
      <c r="K20" s="1204"/>
      <c r="L20" s="1204"/>
      <c r="M20" s="1204"/>
      <c r="N20" s="1205"/>
      <c r="O20" s="235">
        <f>O12</f>
        <v>1</v>
      </c>
      <c r="P20" s="235" t="s">
        <v>142</v>
      </c>
      <c r="Q20" s="235">
        <f>Q12</f>
        <v>0</v>
      </c>
      <c r="R20" s="235">
        <f t="shared" ref="R20:T20" si="6">R12</f>
        <v>1</v>
      </c>
      <c r="S20" s="235">
        <f t="shared" si="6"/>
        <v>0</v>
      </c>
      <c r="T20" s="235">
        <f t="shared" si="6"/>
        <v>0</v>
      </c>
      <c r="U20" s="252"/>
      <c r="V20" s="235"/>
      <c r="W20" s="1173">
        <f>SUM(W11:W19)</f>
        <v>564380268.64031994</v>
      </c>
      <c r="X20" s="1173">
        <f>SUM(X11:X19)</f>
        <v>564380268.64031994</v>
      </c>
      <c r="Y20" s="235">
        <f>Y12</f>
        <v>0</v>
      </c>
      <c r="Z20" s="235">
        <f t="shared" ref="Z20:AB20" si="7">Z12</f>
        <v>0</v>
      </c>
      <c r="AA20" s="235">
        <f t="shared" si="7"/>
        <v>0</v>
      </c>
      <c r="AB20" s="235">
        <f t="shared" si="7"/>
        <v>0</v>
      </c>
      <c r="AC20" s="1173">
        <f>SUM(AC11:AC19)</f>
        <v>80832160.400000006</v>
      </c>
      <c r="AD20" s="1173">
        <f t="shared" ref="AD20:AH20" si="8">SUM(AD11:AD19)</f>
        <v>80832160.400000006</v>
      </c>
      <c r="AE20" s="1173">
        <f t="shared" si="8"/>
        <v>0</v>
      </c>
      <c r="AF20" s="1173">
        <f t="shared" si="8"/>
        <v>0</v>
      </c>
      <c r="AG20" s="1173">
        <f t="shared" si="8"/>
        <v>0</v>
      </c>
      <c r="AH20" s="1173">
        <f t="shared" si="8"/>
        <v>0</v>
      </c>
      <c r="AI20" s="247"/>
      <c r="AJ20" s="247"/>
      <c r="AK20" s="247"/>
      <c r="AL20" s="247"/>
      <c r="AM20" s="247"/>
      <c r="AN20" s="247"/>
      <c r="AO20" s="247"/>
      <c r="AP20" s="247"/>
      <c r="AQ20" s="237"/>
      <c r="AR20" s="237"/>
      <c r="AS20" s="789"/>
    </row>
    <row r="21" spans="1:45" s="1" customFormat="1" ht="51.75" customHeight="1" thickBot="1">
      <c r="A21" s="1206"/>
      <c r="B21" s="1207"/>
      <c r="C21" s="1207"/>
      <c r="D21" s="1207"/>
      <c r="E21" s="1207"/>
      <c r="F21" s="1207"/>
      <c r="G21" s="1207"/>
      <c r="H21" s="1207"/>
      <c r="I21" s="1207"/>
      <c r="J21" s="1207"/>
      <c r="K21" s="1207"/>
      <c r="L21" s="1207"/>
      <c r="M21" s="1207"/>
      <c r="N21" s="1208"/>
      <c r="O21" s="235">
        <v>100</v>
      </c>
      <c r="P21" s="235" t="s">
        <v>93</v>
      </c>
      <c r="Q21" s="235">
        <v>100</v>
      </c>
      <c r="R21" s="235">
        <v>100</v>
      </c>
      <c r="S21" s="235">
        <v>100</v>
      </c>
      <c r="T21" s="235">
        <v>100</v>
      </c>
      <c r="U21" s="252"/>
      <c r="V21" s="235"/>
      <c r="W21" s="1174"/>
      <c r="X21" s="1174"/>
      <c r="Y21" s="263">
        <f>AVERAGE(Y11:Y20)</f>
        <v>0</v>
      </c>
      <c r="Z21" s="263">
        <f t="shared" ref="Z21:AB21" si="9">AVERAGE(Z11:Z20)</f>
        <v>0</v>
      </c>
      <c r="AA21" s="263">
        <f t="shared" si="9"/>
        <v>0</v>
      </c>
      <c r="AB21" s="263">
        <f t="shared" si="9"/>
        <v>0</v>
      </c>
      <c r="AC21" s="1174"/>
      <c r="AD21" s="1174"/>
      <c r="AE21" s="1174"/>
      <c r="AF21" s="1174"/>
      <c r="AG21" s="1174"/>
      <c r="AH21" s="1174"/>
      <c r="AI21" s="247"/>
      <c r="AJ21" s="247"/>
      <c r="AK21" s="247"/>
      <c r="AL21" s="247"/>
      <c r="AM21" s="247"/>
      <c r="AN21" s="247"/>
      <c r="AO21" s="247"/>
      <c r="AP21" s="247"/>
      <c r="AQ21" s="237"/>
      <c r="AR21" s="237"/>
      <c r="AS21" s="789"/>
    </row>
    <row r="22" spans="1:45" s="1" customFormat="1" ht="86.25" customHeight="1" thickBot="1">
      <c r="A22" s="810" t="s">
        <v>544</v>
      </c>
      <c r="B22" s="810" t="s">
        <v>545</v>
      </c>
      <c r="C22" s="121" t="s">
        <v>546</v>
      </c>
      <c r="D22" s="121" t="s">
        <v>133</v>
      </c>
      <c r="E22" s="122" t="s">
        <v>69</v>
      </c>
      <c r="F22" s="121" t="s">
        <v>547</v>
      </c>
      <c r="G22" s="810" t="s">
        <v>548</v>
      </c>
      <c r="H22" s="122" t="s">
        <v>549</v>
      </c>
      <c r="I22" s="122" t="s">
        <v>93</v>
      </c>
      <c r="J22" s="123">
        <v>80</v>
      </c>
      <c r="K22" s="123">
        <v>90</v>
      </c>
      <c r="L22" s="124"/>
      <c r="M22" s="828" t="s">
        <v>550</v>
      </c>
      <c r="N22" s="125" t="s">
        <v>1241</v>
      </c>
      <c r="O22" s="121">
        <v>90</v>
      </c>
      <c r="P22" s="121" t="s">
        <v>98</v>
      </c>
      <c r="Q22" s="121">
        <v>10</v>
      </c>
      <c r="R22" s="121">
        <v>30</v>
      </c>
      <c r="S22" s="121">
        <v>30</v>
      </c>
      <c r="T22" s="121">
        <v>20</v>
      </c>
      <c r="U22" s="121">
        <v>320000</v>
      </c>
      <c r="V22" s="121"/>
      <c r="W22" s="126">
        <v>1392676803</v>
      </c>
      <c r="X22" s="114">
        <f t="shared" si="0"/>
        <v>1392676803</v>
      </c>
      <c r="Y22" s="267"/>
      <c r="Z22" s="267"/>
      <c r="AA22" s="267"/>
      <c r="AB22" s="267"/>
      <c r="AC22" s="126">
        <v>273696858</v>
      </c>
      <c r="AD22" s="267">
        <v>615950501</v>
      </c>
      <c r="AE22" s="126"/>
      <c r="AF22" s="120"/>
      <c r="AG22" s="120"/>
      <c r="AH22" s="120"/>
      <c r="AI22" s="120"/>
      <c r="AJ22" s="120"/>
      <c r="AK22" s="120"/>
      <c r="AL22" s="120"/>
      <c r="AM22" s="120"/>
      <c r="AN22" s="120"/>
      <c r="AO22" s="120"/>
      <c r="AP22" s="120"/>
      <c r="AQ22" s="110" t="s">
        <v>479</v>
      </c>
      <c r="AR22" s="110" t="s">
        <v>479</v>
      </c>
      <c r="AS22" s="789"/>
    </row>
    <row r="23" spans="1:45" s="1" customFormat="1" ht="69.75" customHeight="1" thickBot="1">
      <c r="A23" s="902"/>
      <c r="B23" s="902"/>
      <c r="C23" s="810" t="s">
        <v>556</v>
      </c>
      <c r="D23" s="810" t="s">
        <v>93</v>
      </c>
      <c r="E23" s="810" t="s">
        <v>69</v>
      </c>
      <c r="F23" s="810">
        <v>90</v>
      </c>
      <c r="G23" s="902"/>
      <c r="H23" s="122" t="s">
        <v>557</v>
      </c>
      <c r="I23" s="122" t="s">
        <v>93</v>
      </c>
      <c r="J23" s="123">
        <v>25</v>
      </c>
      <c r="K23" s="123">
        <v>15</v>
      </c>
      <c r="L23" s="124"/>
      <c r="M23" s="829"/>
      <c r="N23" s="125" t="s">
        <v>1242</v>
      </c>
      <c r="O23" s="121">
        <v>80</v>
      </c>
      <c r="P23" s="121" t="s">
        <v>98</v>
      </c>
      <c r="Q23" s="121">
        <v>25</v>
      </c>
      <c r="R23" s="121">
        <v>22</v>
      </c>
      <c r="S23" s="121">
        <v>17</v>
      </c>
      <c r="T23" s="121">
        <v>16</v>
      </c>
      <c r="U23" s="131" t="s">
        <v>1015</v>
      </c>
      <c r="V23" s="121"/>
      <c r="W23" s="126">
        <v>35784633.606720001</v>
      </c>
      <c r="X23" s="114">
        <f t="shared" si="0"/>
        <v>35784633.606720001</v>
      </c>
      <c r="Y23" s="267"/>
      <c r="Z23" s="267">
        <v>0</v>
      </c>
      <c r="AA23" s="267"/>
      <c r="AB23" s="267"/>
      <c r="AC23" s="126">
        <f t="shared" ref="AC23:AD24" si="10">+(39576565+10017702+28235560+14658056+16555564+13387500+4250077)/10</f>
        <v>12668102.4</v>
      </c>
      <c r="AD23" s="126">
        <f t="shared" si="10"/>
        <v>12668102.4</v>
      </c>
      <c r="AE23" s="126"/>
      <c r="AF23" s="120"/>
      <c r="AG23" s="120"/>
      <c r="AH23" s="120"/>
      <c r="AI23" s="120"/>
      <c r="AJ23" s="120"/>
      <c r="AK23" s="120"/>
      <c r="AL23" s="120"/>
      <c r="AM23" s="120"/>
      <c r="AN23" s="120"/>
      <c r="AO23" s="120"/>
      <c r="AP23" s="120"/>
      <c r="AQ23" s="110" t="s">
        <v>479</v>
      </c>
      <c r="AR23" s="110" t="s">
        <v>479</v>
      </c>
      <c r="AS23" s="789"/>
    </row>
    <row r="24" spans="1:45" s="1" customFormat="1" ht="51.75" customHeight="1" thickBot="1">
      <c r="A24" s="811"/>
      <c r="B24" s="811"/>
      <c r="C24" s="811"/>
      <c r="D24" s="811"/>
      <c r="E24" s="811"/>
      <c r="F24" s="811"/>
      <c r="G24" s="811"/>
      <c r="H24" s="127" t="s">
        <v>562</v>
      </c>
      <c r="I24" s="127" t="s">
        <v>72</v>
      </c>
      <c r="J24" s="128" t="s">
        <v>69</v>
      </c>
      <c r="K24" s="128">
        <v>1</v>
      </c>
      <c r="L24" s="129"/>
      <c r="M24" s="830"/>
      <c r="N24" s="130" t="s">
        <v>1243</v>
      </c>
      <c r="O24" s="197">
        <v>1</v>
      </c>
      <c r="P24" s="197" t="s">
        <v>1244</v>
      </c>
      <c r="Q24" s="197">
        <v>0</v>
      </c>
      <c r="R24" s="197">
        <v>1</v>
      </c>
      <c r="S24" s="197">
        <v>0</v>
      </c>
      <c r="T24" s="197">
        <v>0</v>
      </c>
      <c r="U24" s="253" t="s">
        <v>1015</v>
      </c>
      <c r="V24" s="197"/>
      <c r="W24" s="255">
        <v>35784633.606720001</v>
      </c>
      <c r="X24" s="256">
        <f t="shared" si="0"/>
        <v>35784633.606720001</v>
      </c>
      <c r="Y24" s="268"/>
      <c r="Z24" s="268">
        <v>0</v>
      </c>
      <c r="AA24" s="268"/>
      <c r="AB24" s="268"/>
      <c r="AC24" s="126">
        <f t="shared" si="10"/>
        <v>12668102.4</v>
      </c>
      <c r="AD24" s="126">
        <f t="shared" si="10"/>
        <v>12668102.4</v>
      </c>
      <c r="AE24" s="255"/>
      <c r="AF24" s="257"/>
      <c r="AG24" s="257"/>
      <c r="AH24" s="257"/>
      <c r="AI24" s="257"/>
      <c r="AJ24" s="257"/>
      <c r="AK24" s="257"/>
      <c r="AL24" s="257"/>
      <c r="AM24" s="257"/>
      <c r="AN24" s="257"/>
      <c r="AO24" s="257"/>
      <c r="AP24" s="257"/>
      <c r="AQ24" s="196" t="s">
        <v>479</v>
      </c>
      <c r="AR24" s="196" t="s">
        <v>479</v>
      </c>
      <c r="AS24" s="790"/>
    </row>
    <row r="25" spans="1:45" s="9" customFormat="1" ht="42" customHeight="1">
      <c r="A25" s="1212" t="s">
        <v>979</v>
      </c>
      <c r="B25" s="1212"/>
      <c r="C25" s="1212"/>
      <c r="D25" s="1212"/>
      <c r="E25" s="1212"/>
      <c r="F25" s="1212"/>
      <c r="G25" s="1212"/>
      <c r="H25" s="1212"/>
      <c r="I25" s="1212"/>
      <c r="J25" s="1212"/>
      <c r="K25" s="1212"/>
      <c r="L25" s="1212"/>
      <c r="M25" s="1212"/>
      <c r="N25" s="1212"/>
      <c r="O25" s="198">
        <f>O24</f>
        <v>1</v>
      </c>
      <c r="P25" s="198" t="s">
        <v>142</v>
      </c>
      <c r="Q25" s="198">
        <f>Q24</f>
        <v>0</v>
      </c>
      <c r="R25" s="198">
        <f t="shared" ref="R25:T25" si="11">R24</f>
        <v>1</v>
      </c>
      <c r="S25" s="198">
        <f t="shared" si="11"/>
        <v>0</v>
      </c>
      <c r="T25" s="198">
        <f t="shared" si="11"/>
        <v>0</v>
      </c>
      <c r="U25" s="200"/>
      <c r="V25" s="198"/>
      <c r="W25" s="1173">
        <f>SUM(W22:W24)</f>
        <v>1464246070.2134399</v>
      </c>
      <c r="X25" s="1173">
        <f>SUM(X22:X24)</f>
        <v>1464246070.2134399</v>
      </c>
      <c r="Y25" s="198">
        <f>Y24</f>
        <v>0</v>
      </c>
      <c r="Z25" s="198">
        <f t="shared" ref="Z25:AB25" si="12">Z24</f>
        <v>0</v>
      </c>
      <c r="AA25" s="198">
        <f t="shared" si="12"/>
        <v>0</v>
      </c>
      <c r="AB25" s="198">
        <f t="shared" si="12"/>
        <v>0</v>
      </c>
      <c r="AC25" s="1173">
        <f>SUM(AC22:AC24)</f>
        <v>299033062.79999995</v>
      </c>
      <c r="AD25" s="1173">
        <f t="shared" ref="AD25:AH25" si="13">SUM(AD22:AD24)</f>
        <v>641286705.79999995</v>
      </c>
      <c r="AE25" s="1173">
        <f t="shared" si="13"/>
        <v>0</v>
      </c>
      <c r="AF25" s="1173">
        <f t="shared" si="13"/>
        <v>0</v>
      </c>
      <c r="AG25" s="1173">
        <f t="shared" si="13"/>
        <v>0</v>
      </c>
      <c r="AH25" s="1173">
        <f t="shared" si="13"/>
        <v>0</v>
      </c>
      <c r="AI25" s="201"/>
      <c r="AJ25" s="201"/>
      <c r="AK25" s="201"/>
      <c r="AL25" s="201"/>
      <c r="AM25" s="201"/>
      <c r="AN25" s="201"/>
      <c r="AO25" s="201"/>
      <c r="AP25" s="201"/>
      <c r="AQ25" s="198"/>
      <c r="AR25" s="198"/>
      <c r="AS25" s="135"/>
    </row>
    <row r="26" spans="1:45" s="9" customFormat="1" ht="42" customHeight="1">
      <c r="A26" s="1213"/>
      <c r="B26" s="1213"/>
      <c r="C26" s="1213"/>
      <c r="D26" s="1213"/>
      <c r="E26" s="1213"/>
      <c r="F26" s="1213"/>
      <c r="G26" s="1213"/>
      <c r="H26" s="1213"/>
      <c r="I26" s="1213"/>
      <c r="J26" s="1213"/>
      <c r="K26" s="1213"/>
      <c r="L26" s="1213"/>
      <c r="M26" s="1213"/>
      <c r="N26" s="1213"/>
      <c r="O26" s="198">
        <v>100</v>
      </c>
      <c r="P26" s="198" t="s">
        <v>93</v>
      </c>
      <c r="Q26" s="198">
        <f>Q22+Q23</f>
        <v>35</v>
      </c>
      <c r="R26" s="198">
        <f>R22+R23</f>
        <v>52</v>
      </c>
      <c r="S26" s="198">
        <f>S22+S23</f>
        <v>47</v>
      </c>
      <c r="T26" s="198">
        <f>T22+T23</f>
        <v>36</v>
      </c>
      <c r="U26" s="200"/>
      <c r="V26" s="198"/>
      <c r="W26" s="1174"/>
      <c r="X26" s="1174"/>
      <c r="Y26" s="263">
        <f>AVERAGE(Y23+Y22)</f>
        <v>0</v>
      </c>
      <c r="Z26" s="263">
        <f t="shared" ref="Z26:AB26" si="14">AVERAGE(Z23+Z22)</f>
        <v>0</v>
      </c>
      <c r="AA26" s="263">
        <f t="shared" si="14"/>
        <v>0</v>
      </c>
      <c r="AB26" s="263">
        <f t="shared" si="14"/>
        <v>0</v>
      </c>
      <c r="AC26" s="1174"/>
      <c r="AD26" s="1174"/>
      <c r="AE26" s="1174"/>
      <c r="AF26" s="1174"/>
      <c r="AG26" s="1174"/>
      <c r="AH26" s="1174"/>
      <c r="AI26" s="201"/>
      <c r="AJ26" s="201"/>
      <c r="AK26" s="201"/>
      <c r="AL26" s="201"/>
      <c r="AM26" s="201"/>
      <c r="AN26" s="201"/>
      <c r="AO26" s="201"/>
      <c r="AP26" s="201"/>
      <c r="AQ26" s="198"/>
      <c r="AR26" s="198"/>
      <c r="AS26" s="254"/>
    </row>
    <row r="27" spans="1:45" s="1" customFormat="1">
      <c r="A27" s="3"/>
      <c r="B27" s="3"/>
      <c r="C27" s="3"/>
      <c r="D27" s="3"/>
      <c r="E27" s="3"/>
      <c r="F27" s="3"/>
      <c r="G27" s="3"/>
      <c r="H27" s="3"/>
      <c r="I27" s="3"/>
      <c r="N27" s="5"/>
      <c r="O27" s="3"/>
      <c r="P27" s="3"/>
      <c r="Q27" s="3"/>
      <c r="R27" s="3"/>
      <c r="S27" s="3"/>
      <c r="T27" s="3"/>
      <c r="U27" s="3"/>
      <c r="V27" s="3"/>
      <c r="W27" s="7"/>
      <c r="X27" s="8"/>
      <c r="Y27" s="8"/>
      <c r="Z27" s="8"/>
      <c r="AA27" s="8"/>
      <c r="AB27" s="8"/>
      <c r="AC27" s="8"/>
      <c r="AD27" s="8"/>
      <c r="AE27" s="8"/>
      <c r="AF27" s="8"/>
      <c r="AG27" s="8"/>
      <c r="AH27" s="8"/>
      <c r="AI27" s="8"/>
      <c r="AJ27" s="8"/>
      <c r="AK27" s="8"/>
      <c r="AL27" s="8"/>
      <c r="AM27" s="8"/>
      <c r="AN27" s="8"/>
      <c r="AO27" s="8"/>
      <c r="AP27" s="8"/>
      <c r="AQ27" s="3"/>
      <c r="AR27" s="3"/>
    </row>
    <row r="28" spans="1:45" s="1" customFormat="1">
      <c r="A28" s="3"/>
      <c r="B28" s="3"/>
      <c r="C28" s="3"/>
      <c r="D28" s="3"/>
      <c r="E28" s="3"/>
      <c r="F28" s="3"/>
      <c r="G28" s="3"/>
      <c r="H28" s="3"/>
      <c r="I28" s="3"/>
      <c r="N28" s="5"/>
      <c r="O28" s="3"/>
      <c r="P28" s="3"/>
      <c r="Q28" s="3"/>
      <c r="R28" s="3"/>
      <c r="S28" s="3"/>
      <c r="T28" s="3"/>
      <c r="U28" s="3">
        <v>90692582256</v>
      </c>
      <c r="V28" s="3"/>
      <c r="W28" s="7"/>
      <c r="X28" s="8"/>
      <c r="Y28" s="8"/>
      <c r="Z28" s="8"/>
      <c r="AA28" s="8"/>
      <c r="AB28" s="8"/>
      <c r="AC28" s="8"/>
      <c r="AD28" s="8"/>
      <c r="AE28" s="8"/>
      <c r="AF28" s="8"/>
      <c r="AG28" s="8"/>
      <c r="AH28" s="8"/>
      <c r="AI28" s="8"/>
      <c r="AJ28" s="8"/>
      <c r="AK28" s="8"/>
      <c r="AL28" s="8"/>
      <c r="AM28" s="8"/>
      <c r="AN28" s="8"/>
      <c r="AO28" s="8"/>
      <c r="AP28" s="8"/>
      <c r="AQ28" s="3"/>
      <c r="AR28" s="3"/>
    </row>
    <row r="29" spans="1:45" s="1" customFormat="1">
      <c r="A29" s="3"/>
      <c r="B29" s="3"/>
      <c r="C29" s="3"/>
      <c r="D29" s="3"/>
      <c r="E29" s="3"/>
      <c r="F29" s="3"/>
      <c r="G29" s="3"/>
      <c r="H29" s="3"/>
      <c r="M29" s="5"/>
      <c r="N29" s="3"/>
      <c r="O29" s="3"/>
      <c r="P29" s="3"/>
      <c r="Q29" s="3"/>
      <c r="R29" s="3"/>
      <c r="S29" s="3"/>
      <c r="T29" s="3"/>
      <c r="U29" s="3">
        <v>59707696938</v>
      </c>
      <c r="V29" s="3"/>
      <c r="W29" s="7"/>
      <c r="X29" s="11">
        <f>W25-X25</f>
        <v>0</v>
      </c>
      <c r="Y29" s="11"/>
      <c r="Z29" s="11"/>
      <c r="AA29" s="11"/>
      <c r="AB29" s="11"/>
      <c r="AC29" s="11"/>
      <c r="AD29" s="11"/>
      <c r="AE29" s="11"/>
      <c r="AF29" s="11"/>
      <c r="AG29" s="11"/>
      <c r="AH29" s="11"/>
      <c r="AI29" s="11"/>
      <c r="AJ29" s="11"/>
      <c r="AK29" s="11"/>
      <c r="AL29" s="11"/>
      <c r="AM29" s="11"/>
      <c r="AN29" s="11"/>
      <c r="AO29" s="11"/>
      <c r="AP29" s="11"/>
      <c r="AQ29" s="3"/>
      <c r="AR29" s="3"/>
    </row>
    <row r="30" spans="1:45" s="1" customFormat="1" ht="15">
      <c r="A30" s="1108" t="s">
        <v>995</v>
      </c>
      <c r="B30" s="1108"/>
      <c r="C30" s="1108"/>
      <c r="D30" s="1108"/>
      <c r="E30" s="1108"/>
      <c r="F30" s="1108"/>
      <c r="G30" s="1108"/>
      <c r="H30" s="1108"/>
      <c r="I30" s="1108"/>
      <c r="J30" s="1108"/>
      <c r="K30" s="1108"/>
      <c r="L30" s="1108"/>
      <c r="M30" s="1108"/>
      <c r="N30" s="1108"/>
      <c r="O30" s="1108"/>
      <c r="P30" s="3"/>
      <c r="Q30" s="3"/>
      <c r="R30" s="3"/>
      <c r="S30" s="3"/>
      <c r="T30" s="3"/>
      <c r="U30" s="3">
        <f>+U28-U29</f>
        <v>30984885318</v>
      </c>
      <c r="V30" s="3"/>
      <c r="W30" s="7"/>
      <c r="X30" s="7"/>
      <c r="Y30" s="7"/>
      <c r="Z30" s="7"/>
      <c r="AA30" s="7"/>
      <c r="AB30" s="7"/>
      <c r="AC30" s="7"/>
      <c r="AD30" s="7"/>
      <c r="AE30" s="7"/>
      <c r="AF30" s="7"/>
      <c r="AG30" s="7"/>
      <c r="AH30" s="7"/>
      <c r="AI30" s="7"/>
      <c r="AJ30" s="7"/>
      <c r="AK30" s="7"/>
      <c r="AL30" s="7"/>
      <c r="AM30" s="7"/>
      <c r="AN30" s="7"/>
      <c r="AO30" s="7"/>
      <c r="AP30" s="7"/>
      <c r="AQ30" s="3"/>
      <c r="AR30" s="3"/>
    </row>
    <row r="31" spans="1:45" s="1" customFormat="1" ht="60">
      <c r="A31" s="223" t="s">
        <v>996</v>
      </c>
      <c r="B31" s="224" t="s">
        <v>997</v>
      </c>
      <c r="C31" s="224" t="s">
        <v>998</v>
      </c>
      <c r="D31" s="224" t="s">
        <v>660</v>
      </c>
      <c r="E31" s="224" t="s">
        <v>999</v>
      </c>
      <c r="F31" s="224" t="s">
        <v>660</v>
      </c>
      <c r="G31" s="224" t="s">
        <v>1000</v>
      </c>
      <c r="H31" s="224" t="s">
        <v>660</v>
      </c>
      <c r="I31" s="224"/>
      <c r="J31" s="225"/>
      <c r="K31" s="225"/>
      <c r="L31" s="225"/>
      <c r="M31" s="224" t="s">
        <v>660</v>
      </c>
      <c r="N31" s="224" t="s">
        <v>1001</v>
      </c>
      <c r="O31" s="224" t="s">
        <v>660</v>
      </c>
      <c r="P31" s="3"/>
      <c r="Q31" s="3"/>
      <c r="R31" s="3"/>
      <c r="S31" s="3"/>
      <c r="T31" s="3"/>
      <c r="U31" s="3"/>
      <c r="V31" s="3"/>
      <c r="W31" s="7"/>
      <c r="X31" s="7"/>
      <c r="Y31" s="7"/>
      <c r="Z31" s="7"/>
      <c r="AA31" s="7"/>
      <c r="AB31" s="7"/>
      <c r="AC31" s="7"/>
      <c r="AD31" s="7"/>
      <c r="AE31" s="7"/>
      <c r="AF31" s="7"/>
      <c r="AG31" s="7"/>
      <c r="AH31" s="7"/>
      <c r="AI31" s="7"/>
      <c r="AJ31" s="7"/>
      <c r="AK31" s="7"/>
      <c r="AL31" s="7"/>
      <c r="AM31" s="7"/>
      <c r="AN31" s="7"/>
      <c r="AO31" s="7"/>
      <c r="AP31" s="7"/>
      <c r="AQ31" s="3"/>
      <c r="AR31" s="3"/>
    </row>
    <row r="32" spans="1:45" s="1" customFormat="1">
      <c r="A32" s="213" t="s">
        <v>1002</v>
      </c>
      <c r="B32" s="213">
        <f>O10</f>
        <v>156</v>
      </c>
      <c r="C32" s="213">
        <f>Y10</f>
        <v>0</v>
      </c>
      <c r="D32" s="220">
        <f>B32*C32/100</f>
        <v>0</v>
      </c>
      <c r="E32" s="213">
        <f>Z10</f>
        <v>0</v>
      </c>
      <c r="F32" s="220">
        <f>B32*E32/100</f>
        <v>0</v>
      </c>
      <c r="G32" s="213">
        <f>AA10</f>
        <v>0</v>
      </c>
      <c r="H32" s="220">
        <f>B32*G32/100</f>
        <v>0</v>
      </c>
      <c r="I32" s="214"/>
      <c r="J32" s="214"/>
      <c r="K32" s="214"/>
      <c r="L32" s="214"/>
      <c r="M32" s="215"/>
      <c r="N32" s="213">
        <f>AB10</f>
        <v>0</v>
      </c>
      <c r="O32" s="220">
        <f>B32*N32/100</f>
        <v>0</v>
      </c>
      <c r="P32" s="3"/>
      <c r="Q32" s="3"/>
      <c r="R32" s="3"/>
      <c r="S32" s="3"/>
      <c r="T32" s="3"/>
      <c r="U32" s="3"/>
      <c r="V32" s="3"/>
      <c r="W32" s="7"/>
      <c r="X32" s="7">
        <f>W25-X34</f>
        <v>-89228336186.78656</v>
      </c>
      <c r="Y32" s="7"/>
      <c r="Z32" s="7"/>
      <c r="AA32" s="7"/>
      <c r="AB32" s="7"/>
      <c r="AC32" s="7"/>
      <c r="AD32" s="7"/>
      <c r="AE32" s="7"/>
      <c r="AF32" s="7"/>
      <c r="AG32" s="7"/>
      <c r="AH32" s="7"/>
      <c r="AI32" s="7"/>
      <c r="AJ32" s="7"/>
      <c r="AK32" s="7"/>
      <c r="AL32" s="7"/>
      <c r="AM32" s="7"/>
      <c r="AN32" s="7"/>
      <c r="AO32" s="7"/>
      <c r="AP32" s="7"/>
      <c r="AQ32" s="3"/>
      <c r="AR32" s="3"/>
    </row>
    <row r="33" spans="1:44" s="1" customFormat="1">
      <c r="A33" s="3"/>
      <c r="B33" s="3"/>
      <c r="C33" s="3"/>
      <c r="D33" s="3"/>
      <c r="E33" s="3"/>
      <c r="F33" s="3"/>
      <c r="G33" s="3"/>
      <c r="H33" s="3"/>
      <c r="M33" s="5"/>
      <c r="N33" s="3"/>
      <c r="O33" s="3"/>
      <c r="P33" s="3"/>
      <c r="Q33" s="3"/>
      <c r="R33" s="3"/>
      <c r="S33" s="3"/>
      <c r="T33" s="3"/>
      <c r="U33" s="3"/>
      <c r="V33" s="14">
        <f>X34-W25</f>
        <v>89228336186.78656</v>
      </c>
      <c r="W33" s="7"/>
      <c r="X33" s="7"/>
      <c r="Y33" s="7"/>
      <c r="Z33" s="7"/>
      <c r="AA33" s="7"/>
      <c r="AB33" s="7"/>
      <c r="AC33" s="7"/>
      <c r="AD33" s="7"/>
      <c r="AE33" s="7"/>
      <c r="AF33" s="7"/>
      <c r="AG33" s="7"/>
      <c r="AH33" s="7"/>
      <c r="AI33" s="7"/>
      <c r="AJ33" s="7"/>
      <c r="AK33" s="7"/>
      <c r="AL33" s="7"/>
      <c r="AM33" s="7"/>
      <c r="AN33" s="7"/>
      <c r="AO33" s="7"/>
      <c r="AP33" s="7"/>
      <c r="AQ33" s="3"/>
      <c r="AR33" s="3"/>
    </row>
    <row r="34" spans="1:44" s="1" customFormat="1" ht="23.25">
      <c r="A34" s="1109" t="s">
        <v>1003</v>
      </c>
      <c r="B34" s="1109"/>
      <c r="C34" s="1109"/>
      <c r="D34" s="1109"/>
      <c r="E34" s="1109"/>
      <c r="F34" s="1109"/>
      <c r="G34" s="1109"/>
      <c r="H34" s="1109"/>
      <c r="I34" s="1109"/>
      <c r="J34" s="1109"/>
      <c r="K34" s="1109"/>
      <c r="L34" s="1109"/>
      <c r="M34" s="1109"/>
      <c r="N34" s="1109"/>
      <c r="O34" s="3"/>
      <c r="P34" s="3"/>
      <c r="Q34" s="3"/>
      <c r="R34" s="3"/>
      <c r="S34" s="3"/>
      <c r="T34" s="3"/>
      <c r="U34" s="3"/>
      <c r="V34" s="3"/>
      <c r="W34" s="7"/>
      <c r="X34" s="12">
        <v>90692582257</v>
      </c>
      <c r="Y34" s="202"/>
      <c r="Z34" s="202"/>
      <c r="AA34" s="202"/>
      <c r="AB34" s="202"/>
      <c r="AC34" s="202"/>
      <c r="AD34" s="202"/>
      <c r="AE34" s="202"/>
      <c r="AF34" s="202"/>
      <c r="AG34" s="202"/>
      <c r="AH34" s="202"/>
      <c r="AI34" s="202"/>
      <c r="AJ34" s="202"/>
      <c r="AK34" s="202"/>
      <c r="AL34" s="202"/>
      <c r="AM34" s="202"/>
      <c r="AN34" s="202"/>
      <c r="AO34" s="202"/>
      <c r="AP34" s="202"/>
      <c r="AQ34" s="13">
        <f>X34-X25</f>
        <v>89228336186.78656</v>
      </c>
      <c r="AR34" s="3"/>
    </row>
    <row r="35" spans="1:44" s="1" customFormat="1" ht="45">
      <c r="A35" s="221" t="s">
        <v>674</v>
      </c>
      <c r="B35" s="221" t="s">
        <v>1004</v>
      </c>
      <c r="C35" s="221" t="s">
        <v>660</v>
      </c>
      <c r="D35" s="221" t="s">
        <v>1005</v>
      </c>
      <c r="E35" s="221" t="s">
        <v>660</v>
      </c>
      <c r="F35" s="221" t="s">
        <v>1006</v>
      </c>
      <c r="G35" s="221" t="s">
        <v>660</v>
      </c>
      <c r="H35" s="221" t="s">
        <v>1007</v>
      </c>
      <c r="I35" s="222"/>
      <c r="J35" s="222"/>
      <c r="K35" s="222"/>
      <c r="L35" s="222"/>
      <c r="M35" s="221" t="s">
        <v>1007</v>
      </c>
      <c r="N35" s="221" t="s">
        <v>660</v>
      </c>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3"/>
      <c r="AR35" s="3"/>
    </row>
    <row r="36" spans="1:44" s="1" customFormat="1">
      <c r="A36" s="217">
        <f>X10</f>
        <v>71569267.213440001</v>
      </c>
      <c r="B36" s="217">
        <f>AC10</f>
        <v>25336204.800000001</v>
      </c>
      <c r="C36" s="220">
        <f>A36*B36/100</f>
        <v>18132936115056.414</v>
      </c>
      <c r="D36" s="217">
        <f>AD10</f>
        <v>25336204.800000001</v>
      </c>
      <c r="E36" s="220">
        <f>A36*D36/100</f>
        <v>18132936115056.414</v>
      </c>
      <c r="F36" s="217">
        <f>AE10</f>
        <v>0</v>
      </c>
      <c r="G36" s="220">
        <f>A36*F36/100</f>
        <v>0</v>
      </c>
      <c r="H36" s="217">
        <f>AF10</f>
        <v>0</v>
      </c>
      <c r="I36" s="214"/>
      <c r="J36" s="214"/>
      <c r="K36" s="214"/>
      <c r="L36" s="214"/>
      <c r="M36" s="228">
        <f>AE16</f>
        <v>0</v>
      </c>
      <c r="N36" s="220">
        <f>A36*H36/100</f>
        <v>0</v>
      </c>
      <c r="O36" s="3"/>
      <c r="P36" s="3"/>
      <c r="Q36" s="3"/>
      <c r="R36" s="3"/>
      <c r="S36" s="3"/>
      <c r="T36" s="3"/>
      <c r="U36" s="13">
        <f>W25-U29</f>
        <v>-58243450867.78656</v>
      </c>
      <c r="V36" s="3"/>
      <c r="W36" s="7"/>
      <c r="X36" s="7"/>
      <c r="Y36" s="7"/>
      <c r="Z36" s="7"/>
      <c r="AA36" s="7"/>
      <c r="AB36" s="7"/>
      <c r="AC36" s="7"/>
      <c r="AD36" s="7"/>
      <c r="AE36" s="7"/>
      <c r="AF36" s="7"/>
      <c r="AG36" s="7"/>
      <c r="AH36" s="7"/>
      <c r="AI36" s="7"/>
      <c r="AJ36" s="7"/>
      <c r="AK36" s="7"/>
      <c r="AL36" s="7"/>
      <c r="AM36" s="7"/>
      <c r="AN36" s="7"/>
      <c r="AO36" s="7"/>
      <c r="AP36" s="7"/>
      <c r="AQ36" s="3"/>
      <c r="AR36" s="3"/>
    </row>
    <row r="37" spans="1:44" s="1" customFormat="1">
      <c r="A37" s="213"/>
      <c r="B37" s="213"/>
      <c r="C37" s="213"/>
      <c r="D37" s="213"/>
      <c r="E37" s="213"/>
      <c r="F37" s="213"/>
      <c r="G37" s="213"/>
      <c r="H37" s="213"/>
      <c r="I37" s="214"/>
      <c r="J37" s="214"/>
      <c r="K37" s="214"/>
      <c r="L37" s="214"/>
      <c r="M37" s="215"/>
      <c r="N37" s="213"/>
      <c r="O37" s="3"/>
      <c r="P37" s="3"/>
      <c r="Q37" s="3"/>
      <c r="R37" s="3"/>
      <c r="S37" s="3"/>
      <c r="T37" s="3"/>
      <c r="U37" s="3"/>
      <c r="V37" s="3"/>
      <c r="W37" s="7"/>
      <c r="X37" s="7"/>
      <c r="Y37" s="7"/>
      <c r="Z37" s="7"/>
      <c r="AA37" s="7"/>
      <c r="AB37" s="7"/>
      <c r="AC37" s="7"/>
      <c r="AD37" s="7"/>
      <c r="AE37" s="7"/>
      <c r="AF37" s="7"/>
      <c r="AG37" s="7"/>
      <c r="AH37" s="7"/>
      <c r="AI37" s="7"/>
      <c r="AJ37" s="7"/>
      <c r="AK37" s="7"/>
      <c r="AL37" s="7"/>
      <c r="AM37" s="7"/>
      <c r="AN37" s="7"/>
      <c r="AO37" s="7"/>
      <c r="AP37" s="7"/>
      <c r="AQ37" s="3"/>
      <c r="AR37" s="3"/>
    </row>
    <row r="38" spans="1:44" s="1" customFormat="1">
      <c r="A38" s="3"/>
      <c r="B38" s="3"/>
      <c r="C38" s="3"/>
      <c r="D38" s="3"/>
      <c r="E38" s="3"/>
      <c r="F38" s="3"/>
      <c r="G38" s="3"/>
      <c r="H38" s="3"/>
      <c r="M38" s="5"/>
      <c r="N38" s="3"/>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3"/>
      <c r="AR38" s="3"/>
    </row>
    <row r="39" spans="1:44" s="1" customFormat="1" ht="15">
      <c r="A39" s="1108" t="s">
        <v>1008</v>
      </c>
      <c r="B39" s="1108"/>
      <c r="C39" s="1108"/>
      <c r="D39" s="1108"/>
      <c r="E39" s="1108"/>
      <c r="F39" s="1108"/>
      <c r="G39" s="1108"/>
      <c r="H39" s="1108"/>
      <c r="I39" s="1108"/>
      <c r="J39" s="1108"/>
      <c r="K39" s="1108"/>
      <c r="L39" s="1108"/>
      <c r="M39" s="1108"/>
      <c r="N39" s="1108"/>
      <c r="O39" s="1108"/>
      <c r="P39" s="3"/>
      <c r="Q39" s="3"/>
      <c r="R39" s="3"/>
      <c r="S39" s="3"/>
      <c r="T39" s="3"/>
      <c r="U39" s="3"/>
      <c r="V39" s="3"/>
      <c r="W39" s="7"/>
      <c r="X39" s="7"/>
      <c r="Y39" s="7"/>
      <c r="Z39" s="7"/>
      <c r="AA39" s="7"/>
      <c r="AB39" s="7"/>
      <c r="AC39" s="7"/>
      <c r="AD39" s="7"/>
      <c r="AE39" s="7"/>
      <c r="AF39" s="7"/>
      <c r="AG39" s="7"/>
      <c r="AH39" s="7"/>
      <c r="AI39" s="7"/>
      <c r="AJ39" s="7"/>
      <c r="AK39" s="7"/>
      <c r="AL39" s="7"/>
      <c r="AM39" s="7"/>
      <c r="AN39" s="7"/>
      <c r="AO39" s="7"/>
      <c r="AP39" s="7"/>
      <c r="AQ39" s="3"/>
      <c r="AR39" s="3"/>
    </row>
    <row r="40" spans="1:44" s="1" customFormat="1" ht="60">
      <c r="A40" s="223" t="s">
        <v>996</v>
      </c>
      <c r="B40" s="224" t="s">
        <v>997</v>
      </c>
      <c r="C40" s="224" t="s">
        <v>998</v>
      </c>
      <c r="D40" s="224" t="s">
        <v>660</v>
      </c>
      <c r="E40" s="224" t="s">
        <v>999</v>
      </c>
      <c r="F40" s="224" t="s">
        <v>660</v>
      </c>
      <c r="G40" s="224" t="s">
        <v>1000</v>
      </c>
      <c r="H40" s="224" t="s">
        <v>660</v>
      </c>
      <c r="I40" s="224"/>
      <c r="J40" s="225"/>
      <c r="K40" s="225"/>
      <c r="L40" s="225"/>
      <c r="M40" s="224" t="s">
        <v>660</v>
      </c>
      <c r="N40" s="224" t="s">
        <v>1001</v>
      </c>
      <c r="O40" s="224" t="s">
        <v>660</v>
      </c>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3"/>
      <c r="AR40" s="3"/>
    </row>
    <row r="41" spans="1:44" s="1" customFormat="1">
      <c r="A41" s="213" t="s">
        <v>1002</v>
      </c>
      <c r="B41" s="213">
        <f>O20</f>
        <v>1</v>
      </c>
      <c r="C41" s="213">
        <f>Y20</f>
        <v>0</v>
      </c>
      <c r="D41" s="220">
        <f>B41*C41/100</f>
        <v>0</v>
      </c>
      <c r="E41" s="213">
        <f>Z20</f>
        <v>0</v>
      </c>
      <c r="F41" s="220">
        <f>B41*E41/100</f>
        <v>0</v>
      </c>
      <c r="G41" s="213">
        <f>AA20</f>
        <v>0</v>
      </c>
      <c r="H41" s="220">
        <f>B41*G41/100</f>
        <v>0</v>
      </c>
      <c r="I41" s="214"/>
      <c r="J41" s="214"/>
      <c r="K41" s="214"/>
      <c r="L41" s="214"/>
      <c r="M41" s="215"/>
      <c r="N41" s="213">
        <f>AB20</f>
        <v>0</v>
      </c>
      <c r="O41" s="220">
        <f>B41*N41/100</f>
        <v>0</v>
      </c>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3"/>
      <c r="AR41" s="3"/>
    </row>
    <row r="42" spans="1:44" s="1" customFormat="1">
      <c r="A42" s="213" t="s">
        <v>93</v>
      </c>
      <c r="B42" s="213">
        <f>O21</f>
        <v>100</v>
      </c>
      <c r="C42" s="220">
        <f>Y21</f>
        <v>0</v>
      </c>
      <c r="D42" s="220">
        <f>B42*C42/100</f>
        <v>0</v>
      </c>
      <c r="E42" s="220">
        <f>Z21</f>
        <v>0</v>
      </c>
      <c r="F42" s="220">
        <f>B42*E42/100</f>
        <v>0</v>
      </c>
      <c r="G42" s="220">
        <f>AA21</f>
        <v>0</v>
      </c>
      <c r="H42" s="220">
        <f>B42*G42/100</f>
        <v>0</v>
      </c>
      <c r="I42" s="214"/>
      <c r="J42" s="214"/>
      <c r="K42" s="214"/>
      <c r="L42" s="214"/>
      <c r="M42" s="215"/>
      <c r="N42" s="220">
        <f>AB21</f>
        <v>0</v>
      </c>
      <c r="O42" s="213"/>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3"/>
      <c r="AR42" s="3"/>
    </row>
    <row r="43" spans="1:44" s="1" customFormat="1">
      <c r="A43" s="3"/>
      <c r="B43" s="3"/>
      <c r="C43" s="3"/>
      <c r="D43" s="3"/>
      <c r="E43" s="3"/>
      <c r="F43" s="3"/>
      <c r="G43" s="3"/>
      <c r="H43" s="3"/>
      <c r="M43" s="5"/>
      <c r="N43" s="3"/>
      <c r="O43" s="3"/>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3"/>
      <c r="AR43" s="3"/>
    </row>
    <row r="44" spans="1:44" s="1" customFormat="1" ht="15">
      <c r="A44" s="1109" t="s">
        <v>1009</v>
      </c>
      <c r="B44" s="1109"/>
      <c r="C44" s="1109"/>
      <c r="D44" s="1109"/>
      <c r="E44" s="1109"/>
      <c r="F44" s="1109"/>
      <c r="G44" s="1109"/>
      <c r="H44" s="1109"/>
      <c r="I44" s="1109"/>
      <c r="J44" s="1109"/>
      <c r="K44" s="1109"/>
      <c r="L44" s="1109"/>
      <c r="M44" s="1109"/>
      <c r="N44" s="1109"/>
      <c r="O44" s="3"/>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3"/>
      <c r="AR44" s="3"/>
    </row>
    <row r="45" spans="1:44" s="1" customFormat="1" ht="45">
      <c r="A45" s="221" t="s">
        <v>674</v>
      </c>
      <c r="B45" s="221" t="s">
        <v>1004</v>
      </c>
      <c r="C45" s="221" t="s">
        <v>660</v>
      </c>
      <c r="D45" s="221" t="s">
        <v>1005</v>
      </c>
      <c r="E45" s="221" t="s">
        <v>660</v>
      </c>
      <c r="F45" s="221" t="s">
        <v>1006</v>
      </c>
      <c r="G45" s="221" t="s">
        <v>660</v>
      </c>
      <c r="H45" s="221" t="s">
        <v>1007</v>
      </c>
      <c r="I45" s="222"/>
      <c r="J45" s="222"/>
      <c r="K45" s="222"/>
      <c r="L45" s="222"/>
      <c r="M45" s="221" t="s">
        <v>1007</v>
      </c>
      <c r="N45" s="221" t="s">
        <v>660</v>
      </c>
      <c r="O45" s="3"/>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3"/>
      <c r="AR45" s="3"/>
    </row>
    <row r="46" spans="1:44" s="1" customFormat="1" ht="15">
      <c r="A46" s="226">
        <f>X20</f>
        <v>564380268.64031994</v>
      </c>
      <c r="B46" s="226">
        <f>AC25</f>
        <v>299033062.79999995</v>
      </c>
      <c r="C46" s="261">
        <f>A46*B46/100</f>
        <v>1687683603154016.3</v>
      </c>
      <c r="D46" s="226">
        <f>AD20</f>
        <v>80832160.400000006</v>
      </c>
      <c r="E46" s="262">
        <f>A46*D46/100</f>
        <v>456200764013294.31</v>
      </c>
      <c r="F46" s="226">
        <f>AE25</f>
        <v>0</v>
      </c>
      <c r="G46" s="262">
        <f>A46*F46/100</f>
        <v>0</v>
      </c>
      <c r="H46" s="226">
        <f>AF25</f>
        <v>0</v>
      </c>
      <c r="I46" s="227"/>
      <c r="J46" s="227"/>
      <c r="K46" s="227"/>
      <c r="L46" s="227"/>
      <c r="M46" s="229">
        <f>AE22</f>
        <v>0</v>
      </c>
      <c r="N46" s="262">
        <f>A46*H46/100</f>
        <v>0</v>
      </c>
      <c r="O46" s="3"/>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3"/>
      <c r="AR46" s="3"/>
    </row>
    <row r="47" spans="1:44" s="1" customFormat="1">
      <c r="A47" s="213"/>
      <c r="B47" s="213"/>
      <c r="C47" s="213"/>
      <c r="D47" s="213"/>
      <c r="E47" s="213"/>
      <c r="F47" s="213"/>
      <c r="G47" s="213"/>
      <c r="H47" s="213"/>
      <c r="I47" s="214"/>
      <c r="J47" s="214"/>
      <c r="K47" s="214"/>
      <c r="L47" s="214"/>
      <c r="M47" s="215"/>
      <c r="N47" s="213"/>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3"/>
      <c r="AR47" s="3"/>
    </row>
    <row r="48" spans="1:44" s="1" customFormat="1">
      <c r="A48" s="3"/>
      <c r="B48" s="3"/>
      <c r="C48" s="3"/>
      <c r="D48" s="3"/>
      <c r="E48" s="3"/>
      <c r="F48" s="3"/>
      <c r="G48" s="3"/>
      <c r="H48" s="3"/>
      <c r="M48" s="5"/>
      <c r="N48" s="3"/>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3"/>
      <c r="AR48" s="3"/>
    </row>
    <row r="49" spans="1:44" s="1" customFormat="1" ht="15">
      <c r="A49" s="1108" t="s">
        <v>1010</v>
      </c>
      <c r="B49" s="1108"/>
      <c r="C49" s="1108"/>
      <c r="D49" s="1108"/>
      <c r="E49" s="1108"/>
      <c r="F49" s="1108"/>
      <c r="G49" s="1108"/>
      <c r="H49" s="1108"/>
      <c r="I49" s="1108"/>
      <c r="J49" s="1108"/>
      <c r="K49" s="1108"/>
      <c r="L49" s="1108"/>
      <c r="M49" s="1108"/>
      <c r="N49" s="1108"/>
      <c r="O49" s="1108"/>
      <c r="P49" s="3"/>
      <c r="Q49" s="3"/>
      <c r="R49" s="3"/>
      <c r="S49" s="3"/>
      <c r="T49" s="3"/>
      <c r="U49" s="3"/>
      <c r="V49" s="3"/>
      <c r="W49" s="7"/>
      <c r="X49" s="7"/>
      <c r="Y49" s="7"/>
      <c r="Z49" s="7"/>
      <c r="AA49" s="7"/>
      <c r="AB49" s="7"/>
      <c r="AC49" s="7"/>
      <c r="AD49" s="7"/>
      <c r="AE49" s="7"/>
      <c r="AF49" s="7"/>
      <c r="AG49" s="7"/>
      <c r="AH49" s="7"/>
      <c r="AI49" s="7"/>
      <c r="AJ49" s="7"/>
      <c r="AK49" s="7"/>
      <c r="AL49" s="7"/>
      <c r="AM49" s="7"/>
      <c r="AN49" s="7"/>
      <c r="AO49" s="7"/>
      <c r="AP49" s="7"/>
      <c r="AQ49" s="3"/>
      <c r="AR49" s="3"/>
    </row>
    <row r="50" spans="1:44" s="1" customFormat="1" ht="60">
      <c r="A50" s="223" t="s">
        <v>996</v>
      </c>
      <c r="B50" s="224" t="s">
        <v>997</v>
      </c>
      <c r="C50" s="224" t="s">
        <v>998</v>
      </c>
      <c r="D50" s="224" t="s">
        <v>660</v>
      </c>
      <c r="E50" s="224" t="s">
        <v>999</v>
      </c>
      <c r="F50" s="224" t="s">
        <v>660</v>
      </c>
      <c r="G50" s="224" t="s">
        <v>1000</v>
      </c>
      <c r="H50" s="224" t="s">
        <v>660</v>
      </c>
      <c r="I50" s="224"/>
      <c r="J50" s="225"/>
      <c r="K50" s="225"/>
      <c r="L50" s="225"/>
      <c r="M50" s="224" t="s">
        <v>660</v>
      </c>
      <c r="N50" s="224" t="s">
        <v>1001</v>
      </c>
      <c r="O50" s="224" t="s">
        <v>660</v>
      </c>
      <c r="P50" s="3"/>
      <c r="Q50" s="3"/>
      <c r="R50" s="3"/>
      <c r="S50" s="3"/>
      <c r="T50" s="3"/>
      <c r="U50" s="3"/>
      <c r="V50" s="3"/>
      <c r="W50" s="7"/>
      <c r="X50" s="7"/>
      <c r="Y50" s="7"/>
      <c r="Z50" s="7"/>
      <c r="AA50" s="7"/>
      <c r="AB50" s="7"/>
      <c r="AC50" s="7"/>
      <c r="AD50" s="7"/>
      <c r="AE50" s="7"/>
      <c r="AF50" s="7"/>
      <c r="AG50" s="7"/>
      <c r="AH50" s="7"/>
      <c r="AI50" s="7"/>
      <c r="AJ50" s="7"/>
      <c r="AK50" s="7"/>
      <c r="AL50" s="7"/>
      <c r="AM50" s="7"/>
      <c r="AN50" s="7"/>
      <c r="AO50" s="7"/>
      <c r="AP50" s="7"/>
      <c r="AQ50" s="3"/>
      <c r="AR50" s="3"/>
    </row>
    <row r="51" spans="1:44" s="1" customFormat="1">
      <c r="A51" s="213" t="s">
        <v>1002</v>
      </c>
      <c r="B51" s="213">
        <f>O25</f>
        <v>1</v>
      </c>
      <c r="C51" s="213">
        <f>Y25</f>
        <v>0</v>
      </c>
      <c r="D51" s="220">
        <f>B51*C51/100</f>
        <v>0</v>
      </c>
      <c r="E51" s="213">
        <f>Z25</f>
        <v>0</v>
      </c>
      <c r="F51" s="220">
        <f>B51*E51/100</f>
        <v>0</v>
      </c>
      <c r="G51" s="213">
        <f>AA25</f>
        <v>0</v>
      </c>
      <c r="H51" s="220">
        <f>B51*G51/100</f>
        <v>0</v>
      </c>
      <c r="I51" s="214"/>
      <c r="J51" s="214"/>
      <c r="K51" s="214"/>
      <c r="L51" s="214"/>
      <c r="M51" s="215"/>
      <c r="N51" s="213">
        <f>AB25</f>
        <v>0</v>
      </c>
      <c r="O51" s="220">
        <f>B51*N51/100</f>
        <v>0</v>
      </c>
      <c r="P51" s="3"/>
      <c r="Q51" s="3"/>
      <c r="R51" s="3"/>
      <c r="S51" s="3"/>
      <c r="T51" s="3"/>
      <c r="U51" s="3"/>
      <c r="V51" s="3"/>
      <c r="W51" s="7"/>
      <c r="X51" s="7"/>
      <c r="Y51" s="7"/>
      <c r="Z51" s="7"/>
      <c r="AA51" s="7"/>
      <c r="AB51" s="7"/>
      <c r="AC51" s="7"/>
      <c r="AD51" s="7"/>
      <c r="AE51" s="7"/>
      <c r="AF51" s="7"/>
      <c r="AG51" s="7"/>
      <c r="AH51" s="7"/>
      <c r="AI51" s="7"/>
      <c r="AJ51" s="7"/>
      <c r="AK51" s="7"/>
      <c r="AL51" s="7"/>
      <c r="AM51" s="7"/>
      <c r="AN51" s="7"/>
      <c r="AO51" s="7"/>
      <c r="AP51" s="7"/>
      <c r="AQ51" s="3"/>
      <c r="AR51" s="3"/>
    </row>
    <row r="52" spans="1:44">
      <c r="A52" s="213" t="s">
        <v>93</v>
      </c>
      <c r="B52" s="213">
        <f>O26</f>
        <v>100</v>
      </c>
      <c r="C52" s="220">
        <f>Y26</f>
        <v>0</v>
      </c>
      <c r="D52" s="220">
        <f>B52*C52/100</f>
        <v>0</v>
      </c>
      <c r="E52" s="220">
        <f>Z26</f>
        <v>0</v>
      </c>
      <c r="F52" s="220">
        <f>B52*E52/100</f>
        <v>0</v>
      </c>
      <c r="G52" s="213">
        <f>AA26</f>
        <v>0</v>
      </c>
      <c r="H52" s="220">
        <f>B52*G52/100</f>
        <v>0</v>
      </c>
      <c r="I52" s="214"/>
      <c r="J52" s="214"/>
      <c r="K52" s="214"/>
      <c r="L52" s="214"/>
      <c r="M52" s="215"/>
      <c r="N52" s="213">
        <f>AB26</f>
        <v>0</v>
      </c>
      <c r="O52" s="220">
        <f>B52*N52/100</f>
        <v>0</v>
      </c>
    </row>
    <row r="53" spans="1:44">
      <c r="I53" s="1"/>
      <c r="J53" s="1"/>
      <c r="K53" s="1"/>
      <c r="L53" s="1"/>
      <c r="M53" s="5"/>
      <c r="N53" s="3"/>
    </row>
    <row r="54" spans="1:44" ht="15">
      <c r="A54" s="1109" t="s">
        <v>1011</v>
      </c>
      <c r="B54" s="1109"/>
      <c r="C54" s="1109"/>
      <c r="D54" s="1109"/>
      <c r="E54" s="1109"/>
      <c r="F54" s="1109"/>
      <c r="G54" s="1109"/>
      <c r="H54" s="1109"/>
      <c r="I54" s="1109"/>
      <c r="J54" s="1109"/>
      <c r="K54" s="1109"/>
      <c r="L54" s="1109"/>
      <c r="M54" s="1109"/>
      <c r="N54" s="1109"/>
    </row>
    <row r="55" spans="1:44" ht="45">
      <c r="A55" s="221" t="s">
        <v>674</v>
      </c>
      <c r="B55" s="221" t="s">
        <v>1004</v>
      </c>
      <c r="C55" s="221" t="s">
        <v>660</v>
      </c>
      <c r="D55" s="221" t="s">
        <v>1005</v>
      </c>
      <c r="E55" s="221" t="s">
        <v>660</v>
      </c>
      <c r="F55" s="221" t="s">
        <v>1006</v>
      </c>
      <c r="G55" s="221" t="s">
        <v>660</v>
      </c>
      <c r="H55" s="221" t="s">
        <v>1007</v>
      </c>
      <c r="I55" s="222"/>
      <c r="J55" s="222"/>
      <c r="K55" s="222"/>
      <c r="L55" s="222"/>
      <c r="M55" s="221" t="s">
        <v>1007</v>
      </c>
      <c r="N55" s="221" t="s">
        <v>660</v>
      </c>
    </row>
    <row r="56" spans="1:44">
      <c r="A56" s="217">
        <f>X25</f>
        <v>1464246070.2134399</v>
      </c>
      <c r="B56" s="217">
        <f>AC25</f>
        <v>299033062.79999995</v>
      </c>
      <c r="C56" s="220">
        <f>A56*B56/100</f>
        <v>4378579870687887.5</v>
      </c>
      <c r="D56" s="217">
        <f>AD25</f>
        <v>641286705.79999995</v>
      </c>
      <c r="E56" s="220">
        <f>A56*D56/100</f>
        <v>9390015388477722</v>
      </c>
      <c r="F56" s="217">
        <f>AE25</f>
        <v>0</v>
      </c>
      <c r="G56" s="220">
        <f>A56*F56/100</f>
        <v>0</v>
      </c>
      <c r="H56" s="217">
        <f>AF25</f>
        <v>0</v>
      </c>
      <c r="I56" s="214"/>
      <c r="J56" s="214"/>
      <c r="K56" s="214"/>
      <c r="L56" s="214"/>
      <c r="M56" s="228">
        <f>AE27</f>
        <v>0</v>
      </c>
      <c r="N56" s="220">
        <f>A56*H56/100</f>
        <v>0</v>
      </c>
    </row>
    <row r="57" spans="1:44">
      <c r="A57" s="213"/>
      <c r="B57" s="213"/>
      <c r="C57" s="213"/>
      <c r="D57" s="213"/>
      <c r="E57" s="213"/>
      <c r="F57" s="213"/>
      <c r="G57" s="213"/>
      <c r="H57" s="213"/>
      <c r="I57" s="214"/>
      <c r="J57" s="214"/>
      <c r="K57" s="214"/>
      <c r="L57" s="214"/>
      <c r="M57" s="215"/>
      <c r="N57" s="213"/>
    </row>
    <row r="58" spans="1:44">
      <c r="I58" s="2"/>
      <c r="M58" s="5"/>
      <c r="N58" s="3"/>
    </row>
    <row r="59" spans="1:44">
      <c r="I59" s="2"/>
      <c r="M59" s="5"/>
      <c r="N59" s="3"/>
    </row>
    <row r="60" spans="1:44">
      <c r="I60" s="2"/>
      <c r="M60" s="5"/>
      <c r="N60" s="3"/>
    </row>
    <row r="61" spans="1:44" ht="15">
      <c r="A61" s="1108" t="s">
        <v>1245</v>
      </c>
      <c r="B61" s="1108"/>
      <c r="C61" s="1108"/>
      <c r="D61" s="1108"/>
      <c r="E61" s="1108"/>
      <c r="F61" s="1108"/>
      <c r="G61" s="1108"/>
      <c r="H61" s="1108"/>
      <c r="I61" s="1108"/>
      <c r="J61" s="1108"/>
      <c r="K61" s="1108"/>
      <c r="L61" s="1108"/>
      <c r="M61" s="1108"/>
      <c r="N61" s="1108"/>
      <c r="O61" s="1108"/>
    </row>
    <row r="62" spans="1:44" ht="60">
      <c r="A62" s="223" t="s">
        <v>996</v>
      </c>
      <c r="B62" s="224" t="s">
        <v>997</v>
      </c>
      <c r="C62" s="224" t="s">
        <v>998</v>
      </c>
      <c r="D62" s="224" t="s">
        <v>660</v>
      </c>
      <c r="E62" s="224" t="s">
        <v>999</v>
      </c>
      <c r="F62" s="224" t="s">
        <v>660</v>
      </c>
      <c r="G62" s="224" t="s">
        <v>1000</v>
      </c>
      <c r="H62" s="224" t="s">
        <v>660</v>
      </c>
      <c r="I62" s="224"/>
      <c r="J62" s="225"/>
      <c r="K62" s="225"/>
      <c r="L62" s="225"/>
      <c r="M62" s="225"/>
      <c r="N62" s="224" t="s">
        <v>1001</v>
      </c>
      <c r="O62" s="224" t="s">
        <v>660</v>
      </c>
    </row>
    <row r="63" spans="1:44">
      <c r="A63" s="213" t="s">
        <v>1002</v>
      </c>
      <c r="B63" s="213">
        <f>B51+B41+B32</f>
        <v>158</v>
      </c>
      <c r="C63" s="213">
        <f>C51+C41+C32</f>
        <v>0</v>
      </c>
      <c r="D63" s="219">
        <f>B63*C63/100</f>
        <v>0</v>
      </c>
      <c r="E63" s="213">
        <f>E51+E41+E32</f>
        <v>0</v>
      </c>
      <c r="F63" s="220">
        <f>B63*E63/100</f>
        <v>0</v>
      </c>
      <c r="G63" s="213">
        <f>G51+G41+G32</f>
        <v>0</v>
      </c>
      <c r="H63" s="220">
        <f>B63*G63/100</f>
        <v>0</v>
      </c>
      <c r="I63" s="214"/>
      <c r="J63" s="214"/>
      <c r="K63" s="214"/>
      <c r="L63" s="214"/>
      <c r="M63" s="215"/>
      <c r="N63" s="213">
        <f>N51+N41+N32</f>
        <v>0</v>
      </c>
      <c r="O63" s="220">
        <f>B63*N63/100</f>
        <v>0</v>
      </c>
    </row>
    <row r="64" spans="1:44">
      <c r="A64" s="213" t="s">
        <v>93</v>
      </c>
      <c r="B64" s="220">
        <v>1</v>
      </c>
      <c r="C64" s="220">
        <f>C52+C42+C33</f>
        <v>0</v>
      </c>
      <c r="D64" s="220">
        <f>B64*C64/100</f>
        <v>0</v>
      </c>
      <c r="E64" s="220">
        <f>E52+E42+E33</f>
        <v>0</v>
      </c>
      <c r="F64" s="220">
        <f>B64*E64/100</f>
        <v>0</v>
      </c>
      <c r="G64" s="220">
        <f>G52+G42+G33</f>
        <v>0</v>
      </c>
      <c r="H64" s="220">
        <f>B64*G64/100</f>
        <v>0</v>
      </c>
      <c r="I64" s="214"/>
      <c r="J64" s="214"/>
      <c r="K64" s="214"/>
      <c r="L64" s="214"/>
      <c r="M64" s="215"/>
      <c r="N64" s="220">
        <f>N52+N42+N33</f>
        <v>0</v>
      </c>
      <c r="O64" s="220">
        <f>B64*N64/100</f>
        <v>0</v>
      </c>
    </row>
    <row r="65" spans="1:14">
      <c r="I65" s="1"/>
      <c r="J65" s="1"/>
      <c r="K65" s="1"/>
      <c r="L65" s="1"/>
      <c r="M65" s="5"/>
      <c r="N65" s="3"/>
    </row>
    <row r="66" spans="1:14" ht="15">
      <c r="A66" s="1109" t="s">
        <v>1246</v>
      </c>
      <c r="B66" s="1109"/>
      <c r="C66" s="1109"/>
      <c r="D66" s="1109"/>
      <c r="E66" s="1109"/>
      <c r="F66" s="1109"/>
      <c r="G66" s="1109"/>
      <c r="H66" s="1109"/>
      <c r="I66" s="1109"/>
      <c r="J66" s="1109"/>
      <c r="K66" s="1109"/>
      <c r="L66" s="1109"/>
      <c r="M66" s="1109"/>
      <c r="N66" s="1109"/>
    </row>
    <row r="67" spans="1:14" ht="45">
      <c r="A67" s="221" t="s">
        <v>674</v>
      </c>
      <c r="B67" s="221" t="s">
        <v>1004</v>
      </c>
      <c r="C67" s="221" t="s">
        <v>660</v>
      </c>
      <c r="D67" s="221" t="s">
        <v>1005</v>
      </c>
      <c r="E67" s="221" t="s">
        <v>660</v>
      </c>
      <c r="F67" s="221" t="s">
        <v>1006</v>
      </c>
      <c r="G67" s="221" t="s">
        <v>660</v>
      </c>
      <c r="H67" s="221" t="s">
        <v>1007</v>
      </c>
      <c r="I67" s="222"/>
      <c r="J67" s="222"/>
      <c r="K67" s="222"/>
      <c r="L67" s="222"/>
      <c r="M67" s="221" t="s">
        <v>1007</v>
      </c>
      <c r="N67" s="221" t="s">
        <v>660</v>
      </c>
    </row>
    <row r="68" spans="1:14">
      <c r="A68" s="217">
        <f>A56+A46+A36</f>
        <v>2100195606.0671997</v>
      </c>
      <c r="B68" s="217">
        <f>B56+B46+B36</f>
        <v>623402330.39999986</v>
      </c>
      <c r="C68" s="218">
        <f>A68*B68/100</f>
        <v>1.3092668351181324E+16</v>
      </c>
      <c r="D68" s="217">
        <f>D56+D46+D36</f>
        <v>747455070.99999988</v>
      </c>
      <c r="E68" s="220">
        <f>A68*D68/100</f>
        <v>1.5698018558468464E+16</v>
      </c>
      <c r="F68" s="217">
        <f>F56+F46+F36</f>
        <v>0</v>
      </c>
      <c r="G68" s="220">
        <f>A68*F68/100</f>
        <v>0</v>
      </c>
      <c r="H68" s="217">
        <f>H56+H46+H36</f>
        <v>0</v>
      </c>
      <c r="I68" s="214"/>
      <c r="J68" s="214"/>
      <c r="K68" s="214"/>
      <c r="L68" s="214"/>
      <c r="M68" s="228">
        <f>M56+M46+M36</f>
        <v>0</v>
      </c>
      <c r="N68" s="220">
        <f>A68*H68/100</f>
        <v>0</v>
      </c>
    </row>
    <row r="69" spans="1:14">
      <c r="A69" s="213"/>
      <c r="B69" s="213"/>
      <c r="C69" s="213"/>
      <c r="D69" s="213"/>
      <c r="E69" s="213"/>
      <c r="F69" s="213"/>
      <c r="G69" s="213"/>
      <c r="H69" s="213"/>
      <c r="I69" s="214"/>
      <c r="J69" s="214"/>
      <c r="K69" s="214"/>
      <c r="L69" s="214"/>
      <c r="M69" s="215"/>
      <c r="N69" s="213"/>
    </row>
  </sheetData>
  <mergeCells count="69">
    <mergeCell ref="A54:N54"/>
    <mergeCell ref="A61:O61"/>
    <mergeCell ref="A66:N66"/>
    <mergeCell ref="E23:E24"/>
    <mergeCell ref="F23:F24"/>
    <mergeCell ref="A49:O49"/>
    <mergeCell ref="A44:N44"/>
    <mergeCell ref="A39:O39"/>
    <mergeCell ref="A30:O30"/>
    <mergeCell ref="A34:N34"/>
    <mergeCell ref="B3:AR3"/>
    <mergeCell ref="A4:AR4"/>
    <mergeCell ref="A10:N10"/>
    <mergeCell ref="A25:N26"/>
    <mergeCell ref="D13:D19"/>
    <mergeCell ref="E13:E19"/>
    <mergeCell ref="F13:F19"/>
    <mergeCell ref="M13:M19"/>
    <mergeCell ref="A22:A24"/>
    <mergeCell ref="B22:B24"/>
    <mergeCell ref="G22:G24"/>
    <mergeCell ref="M22:M24"/>
    <mergeCell ref="C23:C24"/>
    <mergeCell ref="D23:D24"/>
    <mergeCell ref="A8:A9"/>
    <mergeCell ref="B8:B9"/>
    <mergeCell ref="AQ6:AQ7"/>
    <mergeCell ref="G8:G9"/>
    <mergeCell ref="AS8:AS24"/>
    <mergeCell ref="A11:A19"/>
    <mergeCell ref="B11:B19"/>
    <mergeCell ref="G11:G19"/>
    <mergeCell ref="C13:C19"/>
    <mergeCell ref="A20:N21"/>
    <mergeCell ref="AC20:AC21"/>
    <mergeCell ref="W20:W21"/>
    <mergeCell ref="X20:X21"/>
    <mergeCell ref="A5:AR5"/>
    <mergeCell ref="A6:B6"/>
    <mergeCell ref="C6:F6"/>
    <mergeCell ref="H6:K6"/>
    <mergeCell ref="L6:L7"/>
    <mergeCell ref="M6:M7"/>
    <mergeCell ref="N6:N7"/>
    <mergeCell ref="O6:O7"/>
    <mergeCell ref="P6:P7"/>
    <mergeCell ref="Q6:Q7"/>
    <mergeCell ref="AR6:AR7"/>
    <mergeCell ref="R6:R7"/>
    <mergeCell ref="S6:S7"/>
    <mergeCell ref="T6:T7"/>
    <mergeCell ref="U6:X6"/>
    <mergeCell ref="Y6:AE6"/>
    <mergeCell ref="A1:AR1"/>
    <mergeCell ref="AT1:AX1"/>
    <mergeCell ref="A2:AR2"/>
    <mergeCell ref="W25:W26"/>
    <mergeCell ref="X25:X26"/>
    <mergeCell ref="AC25:AC26"/>
    <mergeCell ref="AD25:AD26"/>
    <mergeCell ref="AE25:AE26"/>
    <mergeCell ref="AF25:AF26"/>
    <mergeCell ref="AG25:AG26"/>
    <mergeCell ref="AH25:AH26"/>
    <mergeCell ref="AH20:AH21"/>
    <mergeCell ref="AG20:AG21"/>
    <mergeCell ref="AF20:AF21"/>
    <mergeCell ref="AE20:AE21"/>
    <mergeCell ref="AD20:AD21"/>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9DB8-4F93-44C9-84F0-48033007C92B}">
  <dimension ref="A1:P30"/>
  <sheetViews>
    <sheetView workbookViewId="0">
      <selection activeCell="B22" sqref="B22"/>
    </sheetView>
  </sheetViews>
  <sheetFormatPr defaultColWidth="11" defaultRowHeight="15"/>
  <cols>
    <col min="1" max="1" width="16.25" customWidth="1"/>
    <col min="2" max="4" width="19.375" customWidth="1"/>
    <col min="5" max="6" width="21.75" customWidth="1"/>
    <col min="7" max="7" width="32.25" bestFit="1" customWidth="1"/>
    <col min="8" max="8" width="26.375" customWidth="1"/>
    <col min="9" max="9" width="29" bestFit="1" customWidth="1"/>
    <col min="10" max="10" width="25.875" bestFit="1" customWidth="1"/>
    <col min="11" max="11" width="27" bestFit="1" customWidth="1"/>
    <col min="12" max="15" width="19.125" customWidth="1"/>
  </cols>
  <sheetData>
    <row r="1" spans="1:16">
      <c r="A1" s="1217" t="s">
        <v>797</v>
      </c>
      <c r="B1" s="1218"/>
      <c r="C1" s="1218"/>
      <c r="D1" s="1218"/>
      <c r="E1" s="1218"/>
      <c r="F1" s="1218"/>
      <c r="G1" s="1218"/>
      <c r="H1" s="1218"/>
      <c r="I1" s="1218"/>
      <c r="J1" s="1218"/>
      <c r="K1" s="1218"/>
      <c r="L1" s="1218"/>
      <c r="M1" s="1218"/>
      <c r="N1" s="1218"/>
      <c r="O1" s="1218"/>
      <c r="P1" s="1219"/>
    </row>
    <row r="2" spans="1:16" ht="15.75" thickBot="1">
      <c r="A2" s="1220"/>
      <c r="B2" s="1221"/>
      <c r="C2" s="1221"/>
      <c r="D2" s="1221"/>
      <c r="E2" s="1221"/>
      <c r="F2" s="1221"/>
      <c r="G2" s="1221"/>
      <c r="H2" s="1221"/>
      <c r="I2" s="1221"/>
      <c r="J2" s="1221"/>
      <c r="K2" s="1221"/>
      <c r="L2" s="1221"/>
      <c r="M2" s="1221"/>
      <c r="N2" s="1221"/>
      <c r="O2" s="1221"/>
      <c r="P2" s="1222"/>
    </row>
    <row r="3" spans="1:16">
      <c r="A3" s="1223" t="s">
        <v>1247</v>
      </c>
      <c r="B3" s="1224"/>
      <c r="C3" s="1224"/>
      <c r="D3" s="1224"/>
      <c r="E3" s="1224"/>
      <c r="F3" s="1224"/>
      <c r="G3" s="1224"/>
      <c r="H3" s="1224"/>
      <c r="I3" s="1224"/>
      <c r="J3" s="1224"/>
      <c r="K3" s="1224"/>
      <c r="L3" s="1224"/>
      <c r="M3" s="1224"/>
      <c r="N3" s="1224"/>
      <c r="O3" s="1224"/>
      <c r="P3" s="1225"/>
    </row>
    <row r="4" spans="1:16">
      <c r="A4" s="1228" t="s">
        <v>632</v>
      </c>
      <c r="B4" s="1067" t="s">
        <v>1248</v>
      </c>
      <c r="C4" s="1067"/>
      <c r="D4" s="1067"/>
      <c r="E4" s="1229" t="s">
        <v>679</v>
      </c>
      <c r="F4" s="1229"/>
      <c r="G4" s="1229"/>
      <c r="H4" s="1214" t="s">
        <v>1249</v>
      </c>
      <c r="I4" s="1215"/>
      <c r="J4" s="1231"/>
      <c r="K4" s="1229" t="s">
        <v>681</v>
      </c>
      <c r="L4" s="1229"/>
      <c r="M4" s="1229"/>
      <c r="N4" s="1214" t="s">
        <v>818</v>
      </c>
      <c r="O4" s="1215"/>
      <c r="P4" s="1216"/>
    </row>
    <row r="5" spans="1:16">
      <c r="A5" s="1228"/>
      <c r="B5" s="281" t="s">
        <v>1002</v>
      </c>
      <c r="C5" s="281" t="s">
        <v>93</v>
      </c>
      <c r="D5" s="281" t="s">
        <v>135</v>
      </c>
      <c r="E5" s="281" t="s">
        <v>1002</v>
      </c>
      <c r="F5" s="281" t="s">
        <v>93</v>
      </c>
      <c r="G5" s="281" t="s">
        <v>135</v>
      </c>
      <c r="H5" s="281" t="s">
        <v>1002</v>
      </c>
      <c r="I5" s="281" t="s">
        <v>93</v>
      </c>
      <c r="J5" s="281" t="s">
        <v>135</v>
      </c>
      <c r="K5" s="281" t="s">
        <v>1002</v>
      </c>
      <c r="L5" s="281" t="s">
        <v>93</v>
      </c>
      <c r="M5" s="281" t="s">
        <v>135</v>
      </c>
      <c r="N5" s="281" t="s">
        <v>1002</v>
      </c>
      <c r="O5" s="282" t="s">
        <v>93</v>
      </c>
      <c r="P5" s="284" t="s">
        <v>135</v>
      </c>
    </row>
    <row r="6" spans="1:16">
      <c r="A6" s="283" t="s">
        <v>651</v>
      </c>
      <c r="B6" s="290">
        <f>'LINEA 1	SEGUIMIENTO DEL PLAN OP'!B59</f>
        <v>51</v>
      </c>
      <c r="C6" s="289">
        <f>'LINEA 1	SEGUIMIENTO DEL PLAN OP'!B60</f>
        <v>1</v>
      </c>
      <c r="D6" s="299">
        <v>0</v>
      </c>
      <c r="E6" s="280">
        <f>'LINEA 1	SEGUIMIENTO DEL PLAN OP'!C59</f>
        <v>0</v>
      </c>
      <c r="F6" s="287">
        <f>'LINEA 1	SEGUIMIENTO DEL PLAN OP'!C60</f>
        <v>0</v>
      </c>
      <c r="G6" s="299">
        <v>0</v>
      </c>
      <c r="H6" s="280">
        <f>'LINEA 1	SEGUIMIENTO DEL PLAN OP'!E59</f>
        <v>0</v>
      </c>
      <c r="I6" s="288">
        <f>'LINEA 1	SEGUIMIENTO DEL PLAN OP'!E60</f>
        <v>0</v>
      </c>
      <c r="J6" s="299">
        <v>0</v>
      </c>
      <c r="K6" s="280">
        <f>'LINEA 1	SEGUIMIENTO DEL PLAN OP'!G59</f>
        <v>0</v>
      </c>
      <c r="L6" s="288">
        <f>'LINEA 1	SEGUIMIENTO DEL PLAN OP'!G60</f>
        <v>0</v>
      </c>
      <c r="M6" s="299">
        <v>0</v>
      </c>
      <c r="N6" s="280">
        <f>'LINEA 1	SEGUIMIENTO DEL PLAN OP'!N59</f>
        <v>0</v>
      </c>
      <c r="O6" s="292">
        <f>'LINEA 1	SEGUIMIENTO DEL PLAN OP'!N60</f>
        <v>0</v>
      </c>
      <c r="P6" s="303">
        <v>0</v>
      </c>
    </row>
    <row r="7" spans="1:16">
      <c r="A7" s="283" t="s">
        <v>652</v>
      </c>
      <c r="B7" s="290">
        <f>'LINEA 2 SEGUIMIENTO DEL POAI'!B77</f>
        <v>374</v>
      </c>
      <c r="C7" s="289">
        <f>'LINEA 2 SEGUIMIENTO DEL POAI'!B78</f>
        <v>1</v>
      </c>
      <c r="D7" s="299">
        <v>0</v>
      </c>
      <c r="E7" s="280">
        <f>'LINEA 2 SEGUIMIENTO DEL POAI'!C77</f>
        <v>0</v>
      </c>
      <c r="F7" s="287">
        <f>'LINEA 2 SEGUIMIENTO DEL POAI'!C78</f>
        <v>0</v>
      </c>
      <c r="G7" s="299">
        <v>0</v>
      </c>
      <c r="H7" s="280">
        <f>'LINEA 2 SEGUIMIENTO DEL POAI'!E77</f>
        <v>0</v>
      </c>
      <c r="I7" s="287">
        <f>'LINEA 2 SEGUIMIENTO DEL POAI'!E78</f>
        <v>0</v>
      </c>
      <c r="J7" s="299">
        <v>0</v>
      </c>
      <c r="K7" s="280">
        <f>'LINEA 2 SEGUIMIENTO DEL POAI'!G77</f>
        <v>0</v>
      </c>
      <c r="L7" s="287">
        <f>'LINEA 2 SEGUIMIENTO DEL POAI'!G78</f>
        <v>0</v>
      </c>
      <c r="M7" s="299">
        <v>0</v>
      </c>
      <c r="N7" s="280">
        <f>'LINEA 2 SEGUIMIENTO DEL POAI'!N77</f>
        <v>0</v>
      </c>
      <c r="O7" s="293">
        <f>'LINEA 2 SEGUIMIENTO DEL POAI'!N78</f>
        <v>0</v>
      </c>
      <c r="P7" s="303">
        <v>0</v>
      </c>
    </row>
    <row r="8" spans="1:16">
      <c r="A8" s="283" t="s">
        <v>653</v>
      </c>
      <c r="B8" s="291">
        <f>'LINEA3 SEGUIMIENTO DE POAI'!B99</f>
        <v>11289</v>
      </c>
      <c r="C8" s="289">
        <f>'LINEA3 SEGUIMIENTO DE POAI'!B100</f>
        <v>1</v>
      </c>
      <c r="D8" s="299">
        <v>0</v>
      </c>
      <c r="E8" s="280">
        <f>'LINEA3 SEGUIMIENTO DE POAI'!C99</f>
        <v>0</v>
      </c>
      <c r="F8" s="287">
        <f>'LINEA3 SEGUIMIENTO DE POAI'!C100</f>
        <v>0</v>
      </c>
      <c r="G8" s="299">
        <v>0</v>
      </c>
      <c r="H8" s="280">
        <f>'LINEA 2 SEGUIMIENTO DEL POAI'!E77</f>
        <v>0</v>
      </c>
      <c r="I8" s="287">
        <f>'LINEA 2 SEGUIMIENTO DEL POAI'!E78</f>
        <v>0</v>
      </c>
      <c r="J8" s="299">
        <v>0</v>
      </c>
      <c r="K8" s="280">
        <f>'LINEA 2 SEGUIMIENTO DEL POAI'!G77</f>
        <v>0</v>
      </c>
      <c r="L8" s="287">
        <f>'LINEA 2 SEGUIMIENTO DEL POAI'!G78</f>
        <v>0</v>
      </c>
      <c r="M8" s="299">
        <v>0</v>
      </c>
      <c r="N8" s="280">
        <f>'LINEA3 SEGUIMIENTO DE POAI'!N99</f>
        <v>0</v>
      </c>
      <c r="O8" s="293">
        <f>'LINEA3 SEGUIMIENTO DE POAI'!N100</f>
        <v>0</v>
      </c>
      <c r="P8" s="303">
        <v>0</v>
      </c>
    </row>
    <row r="9" spans="1:16">
      <c r="A9" s="283" t="s">
        <v>654</v>
      </c>
      <c r="B9" s="290">
        <f>'LINEA 4 SEGUIMIENTO DEL POAI'!B85</f>
        <v>6</v>
      </c>
      <c r="C9" s="289">
        <v>1</v>
      </c>
      <c r="D9" s="286">
        <f>'LINEA 4 SEGUIMIENTO DEL POAI'!B87</f>
        <v>32</v>
      </c>
      <c r="E9" s="280">
        <f>'LINEA 4 SEGUIMIENTO DEL POAI'!C85</f>
        <v>28565648</v>
      </c>
      <c r="F9" s="287">
        <f>'LINEA 4 SEGUIMIENTO DEL POAI'!C86</f>
        <v>451765745</v>
      </c>
      <c r="G9" s="280">
        <f>'LINEA 4 SEGUIMIENTO DEL POAI'!C87</f>
        <v>0</v>
      </c>
      <c r="H9" s="280">
        <f>'LINEA 4 SEGUIMIENTO DEL POAI'!E85</f>
        <v>164648509</v>
      </c>
      <c r="I9" s="287">
        <f>'LINEA 4 SEGUIMIENTO DEL POAI'!E86</f>
        <v>1489430450</v>
      </c>
      <c r="J9" s="280">
        <f>'LINEA 4 SEGUIMIENTO DEL POAI'!E87</f>
        <v>9639442</v>
      </c>
      <c r="K9" s="280">
        <f>'LINEA 4 SEGUIMIENTO DEL POAI'!G85</f>
        <v>0</v>
      </c>
      <c r="L9" s="287">
        <f>'LINEA 4 SEGUIMIENTO DEL POAI'!G86</f>
        <v>0</v>
      </c>
      <c r="M9" s="280">
        <f>'LINEA 4 SEGUIMIENTO DEL POAI'!G87</f>
        <v>0</v>
      </c>
      <c r="N9" s="280">
        <f>'LINEA 4 SEGUIMIENTO DEL POAI'!J85</f>
        <v>0</v>
      </c>
      <c r="O9" s="287">
        <f>'LINEA 4 SEGUIMIENTO DEL POAI'!J86</f>
        <v>0</v>
      </c>
      <c r="P9" s="295">
        <v>0</v>
      </c>
    </row>
    <row r="10" spans="1:16">
      <c r="A10" s="283" t="s">
        <v>655</v>
      </c>
      <c r="B10" s="290">
        <f>'LINEA5 SEGUIMIENTO POAI'!B55</f>
        <v>138</v>
      </c>
      <c r="C10" s="298">
        <v>0</v>
      </c>
      <c r="D10" s="300">
        <v>0</v>
      </c>
      <c r="E10" s="280">
        <f>'LINEA5 SEGUIMIENTO POAI'!C55</f>
        <v>0</v>
      </c>
      <c r="F10" s="297">
        <v>0</v>
      </c>
      <c r="G10" s="299">
        <v>0</v>
      </c>
      <c r="H10" s="280">
        <f>'LINEA5 SEGUIMIENTO POAI'!E55</f>
        <v>0</v>
      </c>
      <c r="I10" s="297">
        <v>0</v>
      </c>
      <c r="J10" s="299">
        <v>0</v>
      </c>
      <c r="K10" s="280">
        <f>'LINEA5 SEGUIMIENTO POAI'!G55</f>
        <v>0</v>
      </c>
      <c r="L10" s="297">
        <v>0</v>
      </c>
      <c r="M10" s="299">
        <v>0</v>
      </c>
      <c r="N10" s="280">
        <f>'LINEA5 SEGUIMIENTO POAI'!N55</f>
        <v>0</v>
      </c>
      <c r="O10" s="297">
        <v>0</v>
      </c>
      <c r="P10" s="303">
        <v>0</v>
      </c>
    </row>
    <row r="11" spans="1:16">
      <c r="A11" s="283" t="s">
        <v>656</v>
      </c>
      <c r="B11" s="290">
        <f>'LINEA 6 SEGUIMIENTO DEL POAI'!B40</f>
        <v>12</v>
      </c>
      <c r="C11" s="298">
        <v>0</v>
      </c>
      <c r="D11" s="300">
        <v>0</v>
      </c>
      <c r="E11" s="280">
        <f>'LINEA 6 SEGUIMIENTO DEL POAI'!C40</f>
        <v>0</v>
      </c>
      <c r="F11" s="297">
        <v>0</v>
      </c>
      <c r="G11" s="299">
        <v>0</v>
      </c>
      <c r="H11" s="280">
        <f>'LINEA 6 SEGUIMIENTO DEL POAI'!E40</f>
        <v>0</v>
      </c>
      <c r="I11" s="297">
        <v>0</v>
      </c>
      <c r="J11" s="299">
        <v>0</v>
      </c>
      <c r="K11" s="280">
        <f>'LINEA 6 SEGUIMIENTO DEL POAI'!G40</f>
        <v>0</v>
      </c>
      <c r="L11" s="297">
        <v>0</v>
      </c>
      <c r="M11" s="299">
        <v>0</v>
      </c>
      <c r="N11" s="280">
        <f>'LINEA 6 SEGUIMIENTO DEL POAI'!N40</f>
        <v>0</v>
      </c>
      <c r="O11" s="297">
        <v>0</v>
      </c>
      <c r="P11" s="303">
        <v>0</v>
      </c>
    </row>
    <row r="12" spans="1:16">
      <c r="A12" s="283" t="s">
        <v>657</v>
      </c>
      <c r="B12" s="290">
        <f>'LINEA7 SEGUIMIENTO DEL POAI '!B45</f>
        <v>23</v>
      </c>
      <c r="C12" s="289">
        <f>'LINEA7 SEGUIMIENTO DEL POAI '!B46</f>
        <v>1</v>
      </c>
      <c r="D12" s="300">
        <v>0</v>
      </c>
      <c r="E12" s="280">
        <f>'LINEA7 SEGUIMIENTO DEL POAI '!C45</f>
        <v>0</v>
      </c>
      <c r="F12" s="287">
        <f>'LINEA7 SEGUIMIENTO DEL POAI '!C46</f>
        <v>0</v>
      </c>
      <c r="G12" s="299">
        <v>0</v>
      </c>
      <c r="H12" s="280">
        <f>'LINEA7 SEGUIMIENTO DEL POAI '!E45</f>
        <v>0</v>
      </c>
      <c r="I12" s="287">
        <f>'LINEA7 SEGUIMIENTO DEL POAI '!E46</f>
        <v>0</v>
      </c>
      <c r="J12" s="299">
        <v>0</v>
      </c>
      <c r="K12" s="280">
        <f>'LINEA7 SEGUIMIENTO DEL POAI '!G45</f>
        <v>0</v>
      </c>
      <c r="L12" s="287">
        <f>'LINEA7 SEGUIMIENTO DEL POAI '!G46</f>
        <v>0</v>
      </c>
      <c r="M12" s="299">
        <v>0</v>
      </c>
      <c r="N12" s="280">
        <f>'LINEA7 SEGUIMIENTO DEL POAI '!N45</f>
        <v>0</v>
      </c>
      <c r="O12" s="287">
        <f>'LINEA7 SEGUIMIENTO DEL POAI '!N46</f>
        <v>0</v>
      </c>
      <c r="P12" s="303">
        <v>0</v>
      </c>
    </row>
    <row r="13" spans="1:16">
      <c r="A13" s="285" t="s">
        <v>658</v>
      </c>
      <c r="B13" s="290">
        <f>'LINEA8 SEGUIMIENTO DEL POAI'!B63</f>
        <v>158</v>
      </c>
      <c r="C13" s="306">
        <f>'LINEA8 SEGUIMIENTO DEL POAI'!B64</f>
        <v>1</v>
      </c>
      <c r="D13" s="301">
        <v>0</v>
      </c>
      <c r="E13" s="296">
        <f>'LINEA8 SEGUIMIENTO DEL POAI'!C63</f>
        <v>0</v>
      </c>
      <c r="F13" s="307">
        <f>'LINEA8 SEGUIMIENTO DEL POAI'!C64</f>
        <v>0</v>
      </c>
      <c r="G13" s="302">
        <v>0</v>
      </c>
      <c r="H13" s="296">
        <f>'LINEA8 SEGUIMIENTO DEL POAI'!E63</f>
        <v>0</v>
      </c>
      <c r="I13" s="307">
        <f>'LINEA8 SEGUIMIENTO DEL POAI'!E64</f>
        <v>0</v>
      </c>
      <c r="J13" s="302">
        <v>0</v>
      </c>
      <c r="K13" s="296">
        <f>'LINEA8 SEGUIMIENTO DEL POAI'!G63</f>
        <v>0</v>
      </c>
      <c r="L13" s="307">
        <f>'LINEA8 SEGUIMIENTO DEL POAI'!G64</f>
        <v>0</v>
      </c>
      <c r="M13" s="302">
        <v>0</v>
      </c>
      <c r="N13" s="296">
        <f>'LINEA8 SEGUIMIENTO DEL POAI'!N63</f>
        <v>0</v>
      </c>
      <c r="O13" s="307">
        <f>'LINEA8 SEGUIMIENTO DEL POAI'!N64</f>
        <v>0</v>
      </c>
      <c r="P13" s="304">
        <v>0</v>
      </c>
    </row>
    <row r="14" spans="1:16" ht="15.75" thickBot="1">
      <c r="A14" s="294" t="s">
        <v>689</v>
      </c>
      <c r="B14" s="305">
        <f>SUM(B6:B13)</f>
        <v>12051</v>
      </c>
      <c r="C14" s="308">
        <v>1</v>
      </c>
      <c r="D14" s="309">
        <f>D9</f>
        <v>32</v>
      </c>
      <c r="E14" s="309">
        <f>SUM(E6:E13)</f>
        <v>28565648</v>
      </c>
      <c r="F14" s="310">
        <f>AVERAGE(F13,F12,F9,F8,F7,F6)</f>
        <v>75294290.833333328</v>
      </c>
      <c r="G14" s="309">
        <f>G9</f>
        <v>0</v>
      </c>
      <c r="H14" s="309">
        <f>SUM(H6:H13)</f>
        <v>164648509</v>
      </c>
      <c r="I14" s="310">
        <f>AVERAGE(I13,I12,I9,I8,I7,I6)</f>
        <v>248238408.33333334</v>
      </c>
      <c r="J14" s="309">
        <f>J9</f>
        <v>9639442</v>
      </c>
      <c r="K14" s="309">
        <f>SUM(K6:K13)</f>
        <v>0</v>
      </c>
      <c r="L14" s="310">
        <f>AVERAGE(L13,L12,L9,L8,L7,L6)</f>
        <v>0</v>
      </c>
      <c r="M14" s="309">
        <f>M9</f>
        <v>0</v>
      </c>
      <c r="N14" s="309">
        <f>SUM(N6:N13)</f>
        <v>0</v>
      </c>
      <c r="O14" s="310">
        <f>AVERAGE(O13,O12,O9,O8,O7,O6)</f>
        <v>0</v>
      </c>
      <c r="P14" s="311">
        <f>P9</f>
        <v>0</v>
      </c>
    </row>
    <row r="15" spans="1:16" ht="15.75" thickBot="1">
      <c r="A15" s="312"/>
      <c r="P15" s="313"/>
    </row>
    <row r="16" spans="1:16" ht="15.75">
      <c r="A16" s="1238" t="s">
        <v>1250</v>
      </c>
      <c r="B16" s="1239"/>
      <c r="C16" s="1239"/>
      <c r="D16" s="1239"/>
      <c r="E16" s="1239"/>
      <c r="F16" s="1239"/>
      <c r="G16" s="1239"/>
      <c r="H16" s="1239"/>
      <c r="I16" s="1240"/>
      <c r="P16" s="313"/>
    </row>
    <row r="17" spans="1:16">
      <c r="A17" s="1230" t="s">
        <v>632</v>
      </c>
      <c r="B17" s="1066" t="s">
        <v>1251</v>
      </c>
      <c r="C17" s="1066" t="s">
        <v>679</v>
      </c>
      <c r="D17" s="1066" t="s">
        <v>1249</v>
      </c>
      <c r="E17" s="1226" t="s">
        <v>681</v>
      </c>
      <c r="F17" s="1226" t="s">
        <v>818</v>
      </c>
      <c r="G17" s="1066" t="s">
        <v>1252</v>
      </c>
      <c r="H17" s="1232" t="s">
        <v>640</v>
      </c>
      <c r="I17" s="1234" t="s">
        <v>640</v>
      </c>
      <c r="P17" s="313"/>
    </row>
    <row r="18" spans="1:16" ht="15.75" thickBot="1">
      <c r="A18" s="1230"/>
      <c r="B18" s="1066" t="s">
        <v>674</v>
      </c>
      <c r="C18" s="1066"/>
      <c r="D18" s="1066"/>
      <c r="E18" s="1227"/>
      <c r="F18" s="1227"/>
      <c r="G18" s="1066"/>
      <c r="H18" s="1233"/>
      <c r="I18" s="1232"/>
      <c r="P18" s="313"/>
    </row>
    <row r="19" spans="1:16" ht="15.75">
      <c r="A19" s="334" t="s">
        <v>651</v>
      </c>
      <c r="B19" s="329">
        <f>'LINEA 1	SEGUIMIENTO DEL PLAN OP'!A64</f>
        <v>768943571</v>
      </c>
      <c r="C19" s="329">
        <f>'LINEA 1	SEGUIMIENTO DEL PLAN OP'!B64</f>
        <v>173840008</v>
      </c>
      <c r="D19" s="329">
        <f>'LINEA 1	SEGUIMIENTO DEL PLAN OP'!D64</f>
        <v>173840008</v>
      </c>
      <c r="E19" s="330">
        <f>'LINEA 1	SEGUIMIENTO DEL PLAN OP'!F64</f>
        <v>0</v>
      </c>
      <c r="F19" s="330">
        <f>'LINEA 1	SEGUIMIENTO DEL PLAN OP'!M64</f>
        <v>0</v>
      </c>
      <c r="G19" s="329">
        <f t="shared" ref="G19:G26" si="0">D19+C19</f>
        <v>347680016</v>
      </c>
      <c r="H19" s="331">
        <f t="shared" ref="H19:H27" si="1">G19/B19*100%</f>
        <v>0.45215283554272673</v>
      </c>
      <c r="I19" s="1235">
        <v>0.53</v>
      </c>
      <c r="P19" s="313"/>
    </row>
    <row r="20" spans="1:16" ht="15.75">
      <c r="A20" s="334" t="s">
        <v>652</v>
      </c>
      <c r="B20" s="336">
        <f>'LINEA 2 SEGUIMIENTO DEL POAI'!A82</f>
        <v>49301015763.194084</v>
      </c>
      <c r="C20" s="336">
        <f>'LINEA 2 SEGUIMIENTO DEL POAI'!B82</f>
        <v>19616792701</v>
      </c>
      <c r="D20" s="336">
        <f>'LINEA 2 SEGUIMIENTO DEL POAI'!D82</f>
        <v>10766076558</v>
      </c>
      <c r="E20" s="330">
        <f>'LINEA 2 SEGUIMIENTO DEL POAI'!F82</f>
        <v>0</v>
      </c>
      <c r="F20" s="330">
        <f>'LINEA 2 SEGUIMIENTO DEL POAI'!M82</f>
        <v>0</v>
      </c>
      <c r="G20" s="329">
        <f t="shared" si="0"/>
        <v>30382869259</v>
      </c>
      <c r="H20" s="331">
        <f t="shared" si="1"/>
        <v>0.6162726829998193</v>
      </c>
      <c r="I20" s="1236"/>
      <c r="P20" s="313"/>
    </row>
    <row r="21" spans="1:16" ht="15.75">
      <c r="A21" s="334" t="s">
        <v>653</v>
      </c>
      <c r="B21" s="336">
        <f>'LINEA3 SEGUIMIENTO DE POAI'!A104</f>
        <v>57111634345</v>
      </c>
      <c r="C21" s="336">
        <f>'LINEA3 SEGUIMIENTO DE POAI'!B104</f>
        <v>17905329215</v>
      </c>
      <c r="D21" s="336">
        <f>'LINEA3 SEGUIMIENTO DE POAI'!D104</f>
        <v>8782218462</v>
      </c>
      <c r="E21" s="330">
        <f>'LINEA3 SEGUIMIENTO DE POAI'!F104</f>
        <v>0</v>
      </c>
      <c r="F21" s="330">
        <f>'LINEA3 SEGUIMIENTO DE POAI'!M104</f>
        <v>0</v>
      </c>
      <c r="G21" s="329">
        <f t="shared" si="0"/>
        <v>26687547677</v>
      </c>
      <c r="H21" s="331">
        <f t="shared" si="1"/>
        <v>0.4672874097033512</v>
      </c>
      <c r="I21" s="1236"/>
      <c r="P21" s="313"/>
    </row>
    <row r="22" spans="1:16" ht="15.75">
      <c r="A22" s="334" t="s">
        <v>654</v>
      </c>
      <c r="B22" s="329">
        <f>'LINEA 4 SEGUIMIENTO DEL POAI'!A91</f>
        <v>5632357757.6155205</v>
      </c>
      <c r="C22" s="329">
        <f>'LINEA 4 SEGUIMIENTO DEL POAI'!B91</f>
        <v>1199259976</v>
      </c>
      <c r="D22" s="329">
        <f>'LINEA 4 SEGUIMIENTO DEL POAI'!D91</f>
        <v>1687108234</v>
      </c>
      <c r="E22" s="330">
        <f>'LINEA 4 SEGUIMIENTO DEL POAI'!F91</f>
        <v>0</v>
      </c>
      <c r="F22" s="330">
        <f>'LINEA 4 SEGUIMIENTO DEL POAI'!H91</f>
        <v>0</v>
      </c>
      <c r="G22" s="329">
        <f t="shared" si="0"/>
        <v>2886368210</v>
      </c>
      <c r="H22" s="331">
        <f t="shared" si="1"/>
        <v>0.51246180271438491</v>
      </c>
      <c r="I22" s="1236"/>
      <c r="P22" s="313"/>
    </row>
    <row r="23" spans="1:16" ht="15.75">
      <c r="A23" s="334" t="s">
        <v>655</v>
      </c>
      <c r="B23" s="329">
        <f>'LINEA5 SEGUIMIENTO POAI'!A59</f>
        <v>322665784.31520021</v>
      </c>
      <c r="C23" s="329">
        <f>'LINEA5 SEGUIMIENTO POAI'!B59</f>
        <v>66897654</v>
      </c>
      <c r="D23" s="329">
        <f>'LINEA5 SEGUIMIENTO POAI'!D59</f>
        <v>66897654</v>
      </c>
      <c r="E23" s="330">
        <f>'LINEA5 SEGUIMIENTO POAI'!F59</f>
        <v>0</v>
      </c>
      <c r="F23" s="330">
        <f>'LINEA5 SEGUIMIENTO POAI'!H59</f>
        <v>0</v>
      </c>
      <c r="G23" s="329">
        <f t="shared" si="0"/>
        <v>133795308</v>
      </c>
      <c r="H23" s="331">
        <f t="shared" si="1"/>
        <v>0.41465601406717589</v>
      </c>
      <c r="I23" s="1236"/>
      <c r="P23" s="313"/>
    </row>
    <row r="24" spans="1:16" ht="15.75">
      <c r="A24" s="334" t="s">
        <v>656</v>
      </c>
      <c r="B24" s="329">
        <f>'LINEA 6 SEGUIMIENTO DEL POAI'!A44</f>
        <v>119838668.808</v>
      </c>
      <c r="C24" s="329">
        <f>'LINEA 6 SEGUIMIENTO DEL POAI'!B44</f>
        <v>34848791</v>
      </c>
      <c r="D24" s="329">
        <f>'LINEA 6 SEGUIMIENTO DEL POAI'!D44</f>
        <v>34848791</v>
      </c>
      <c r="E24" s="330">
        <f>'LINEA 6 SEGUIMIENTO DEL POAI'!F44</f>
        <v>34848791</v>
      </c>
      <c r="F24" s="330">
        <f>'LINEA 6 SEGUIMIENTO DEL POAI'!H44</f>
        <v>0</v>
      </c>
      <c r="G24" s="329">
        <f t="shared" si="0"/>
        <v>69697582</v>
      </c>
      <c r="H24" s="331">
        <f t="shared" si="1"/>
        <v>0.58159509524981667</v>
      </c>
      <c r="I24" s="1236"/>
      <c r="P24" s="313"/>
    </row>
    <row r="25" spans="1:16" ht="15.75">
      <c r="A25" s="334" t="s">
        <v>657</v>
      </c>
      <c r="B25" s="329">
        <f>'LINEA7 SEGUIMIENTO DEL POAI '!A50</f>
        <v>636777246</v>
      </c>
      <c r="C25" s="329">
        <f>'LINEA7 SEGUIMIENTO DEL POAI '!B50</f>
        <v>116614327</v>
      </c>
      <c r="D25" s="329">
        <f>'LINEA7 SEGUIMIENTO DEL POAI '!D50</f>
        <v>14923578</v>
      </c>
      <c r="E25" s="330">
        <f>'LINEA7 SEGUIMIENTO DEL POAI '!F50</f>
        <v>0</v>
      </c>
      <c r="F25" s="330">
        <f>'LINEA7 SEGUIMIENTO DEL POAI '!H50</f>
        <v>0</v>
      </c>
      <c r="G25" s="329">
        <f t="shared" si="0"/>
        <v>131537905</v>
      </c>
      <c r="H25" s="331">
        <f t="shared" si="1"/>
        <v>0.206568161513736</v>
      </c>
      <c r="I25" s="1236"/>
      <c r="P25" s="313"/>
    </row>
    <row r="26" spans="1:16" ht="15.75">
      <c r="A26" s="334" t="s">
        <v>658</v>
      </c>
      <c r="B26" s="329">
        <f>'LINEA8 SEGUIMIENTO DEL POAI'!A68</f>
        <v>2100195606.0671997</v>
      </c>
      <c r="C26" s="329">
        <f>'LINEA8 SEGUIMIENTO DEL POAI'!B68</f>
        <v>623402330.39999986</v>
      </c>
      <c r="D26" s="329">
        <f>'LINEA8 SEGUIMIENTO DEL POAI'!D68</f>
        <v>747455070.99999988</v>
      </c>
      <c r="E26" s="330">
        <f>'LINEA8 SEGUIMIENTO DEL POAI'!F68</f>
        <v>0</v>
      </c>
      <c r="F26" s="330">
        <f>'LINEA8 SEGUIMIENTO DEL POAI'!H68</f>
        <v>0</v>
      </c>
      <c r="G26" s="329">
        <f t="shared" si="0"/>
        <v>1370857401.3999996</v>
      </c>
      <c r="H26" s="331">
        <f t="shared" si="1"/>
        <v>0.65272843988424978</v>
      </c>
      <c r="I26" s="1236"/>
      <c r="P26" s="313"/>
    </row>
    <row r="27" spans="1:16" ht="16.5" thickBot="1">
      <c r="A27" s="332" t="s">
        <v>689</v>
      </c>
      <c r="B27" s="335">
        <f>SUM(B19:B26)</f>
        <v>115993428742.00002</v>
      </c>
      <c r="C27" s="335">
        <f t="shared" ref="C27:D27" si="2">SUM(C19:C26)</f>
        <v>39736985002.400002</v>
      </c>
      <c r="D27" s="335">
        <f t="shared" si="2"/>
        <v>22273368356</v>
      </c>
      <c r="E27" s="335">
        <f>SUM(E19:E26)</f>
        <v>34848791</v>
      </c>
      <c r="F27" s="335">
        <f>SUM(F19:F26)</f>
        <v>0</v>
      </c>
      <c r="G27" s="335">
        <f t="shared" ref="G27" si="3">D27+C27</f>
        <v>62010353358.400002</v>
      </c>
      <c r="H27" s="333">
        <f t="shared" si="1"/>
        <v>0.53460229627600186</v>
      </c>
      <c r="I27" s="1237"/>
      <c r="J27" s="314"/>
      <c r="K27" s="314"/>
      <c r="L27" s="314"/>
      <c r="M27" s="314"/>
      <c r="N27" s="314"/>
      <c r="O27" s="314"/>
      <c r="P27" s="315"/>
    </row>
    <row r="29" spans="1:16">
      <c r="B29">
        <v>130511552077</v>
      </c>
    </row>
    <row r="30" spans="1:16">
      <c r="B30" s="328">
        <f>+B29-B27</f>
        <v>14518123334.999985</v>
      </c>
    </row>
  </sheetData>
  <mergeCells count="19">
    <mergeCell ref="I17:I18"/>
    <mergeCell ref="I19:I27"/>
    <mergeCell ref="A16:I16"/>
    <mergeCell ref="N4:P4"/>
    <mergeCell ref="A1:P2"/>
    <mergeCell ref="A3:P3"/>
    <mergeCell ref="F17:F18"/>
    <mergeCell ref="A4:A5"/>
    <mergeCell ref="E4:G4"/>
    <mergeCell ref="K4:M4"/>
    <mergeCell ref="B4:D4"/>
    <mergeCell ref="A17:A18"/>
    <mergeCell ref="B17:B18"/>
    <mergeCell ref="C17:C18"/>
    <mergeCell ref="D17:D18"/>
    <mergeCell ref="E17:E18"/>
    <mergeCell ref="H4:J4"/>
    <mergeCell ref="G17:G18"/>
    <mergeCell ref="H17:H18"/>
  </mergeCells>
  <phoneticPr fontId="28" type="noConversion"/>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1C4A-6AE0-4C8E-8AB2-AFF33C65B490}">
  <dimension ref="A2:U23"/>
  <sheetViews>
    <sheetView zoomScale="87" zoomScaleNormal="87" workbookViewId="0">
      <selection activeCell="C19" sqref="C19"/>
    </sheetView>
  </sheetViews>
  <sheetFormatPr defaultColWidth="11" defaultRowHeight="15"/>
  <cols>
    <col min="1" max="1" width="44.875" customWidth="1"/>
    <col min="2" max="2" width="55.375" customWidth="1"/>
    <col min="3" max="3" width="24.375" customWidth="1"/>
    <col min="4" max="4" width="27" customWidth="1"/>
    <col min="5" max="5" width="22.375" customWidth="1"/>
    <col min="6" max="6" width="20.125" customWidth="1"/>
  </cols>
  <sheetData>
    <row r="2" spans="1:6">
      <c r="A2" s="977" t="s">
        <v>802</v>
      </c>
      <c r="B2" s="977"/>
      <c r="C2" s="977"/>
      <c r="D2" s="977"/>
      <c r="E2" s="977"/>
      <c r="F2" s="977"/>
    </row>
    <row r="3" spans="1:6" ht="45">
      <c r="A3" s="227" t="s">
        <v>712</v>
      </c>
      <c r="B3" s="227" t="s">
        <v>713</v>
      </c>
      <c r="C3" s="227" t="s">
        <v>714</v>
      </c>
      <c r="D3" s="227" t="s">
        <v>715</v>
      </c>
      <c r="E3" s="216" t="s">
        <v>716</v>
      </c>
      <c r="F3" s="216" t="s">
        <v>717</v>
      </c>
    </row>
    <row r="4" spans="1:6" ht="28.5" customHeight="1">
      <c r="A4" s="960" t="s">
        <v>8</v>
      </c>
      <c r="B4" s="347" t="s">
        <v>65</v>
      </c>
      <c r="C4" s="348">
        <v>648375074</v>
      </c>
      <c r="D4" s="978">
        <f>C4+C5+C6</f>
        <v>876375074</v>
      </c>
      <c r="E4" s="351">
        <f>C4/D4*100</f>
        <v>73.983742034178391</v>
      </c>
      <c r="F4" s="964">
        <f>D4/C23*100</f>
        <v>0.56829669716346631</v>
      </c>
    </row>
    <row r="5" spans="1:6" ht="29.25">
      <c r="A5" s="966"/>
      <c r="B5" s="347" t="s">
        <v>718</v>
      </c>
      <c r="C5" s="348">
        <v>114000000</v>
      </c>
      <c r="D5" s="978"/>
      <c r="E5" s="351">
        <f>C5/D4*100</f>
        <v>13.008128982910803</v>
      </c>
      <c r="F5" s="973"/>
    </row>
    <row r="6" spans="1:6" ht="29.25">
      <c r="A6" s="961"/>
      <c r="B6" s="347" t="s">
        <v>102</v>
      </c>
      <c r="C6" s="348">
        <v>114000000</v>
      </c>
      <c r="D6" s="978"/>
      <c r="E6" s="351">
        <f>C6/D4*100</f>
        <v>13.008128982910803</v>
      </c>
      <c r="F6" s="965"/>
    </row>
    <row r="7" spans="1:6" ht="28.5">
      <c r="A7" s="960" t="s">
        <v>116</v>
      </c>
      <c r="B7" s="346" t="s">
        <v>118</v>
      </c>
      <c r="C7" s="348">
        <v>3136460946</v>
      </c>
      <c r="D7" s="962">
        <f>C7+C8</f>
        <v>59599968609</v>
      </c>
      <c r="E7" s="351">
        <f>C7/D7*100</f>
        <v>5.2625211375134402</v>
      </c>
      <c r="F7" s="964">
        <f>D7/C23*100</f>
        <v>38.648366796818515</v>
      </c>
    </row>
    <row r="8" spans="1:6" ht="28.5">
      <c r="A8" s="961"/>
      <c r="B8" s="346" t="s">
        <v>719</v>
      </c>
      <c r="C8" s="348">
        <v>56463507663</v>
      </c>
      <c r="D8" s="963"/>
      <c r="E8" s="351">
        <f>C8/D7*100</f>
        <v>94.737478862486554</v>
      </c>
      <c r="F8" s="965"/>
    </row>
    <row r="9" spans="1:6" ht="43.5">
      <c r="A9" s="960" t="s">
        <v>720</v>
      </c>
      <c r="B9" s="347" t="s">
        <v>721</v>
      </c>
      <c r="C9" s="348">
        <v>86291752748</v>
      </c>
      <c r="D9" s="962">
        <f>C9+C10</f>
        <v>86291752748</v>
      </c>
      <c r="E9" s="214">
        <f>C9/D9*100</f>
        <v>100</v>
      </c>
      <c r="F9" s="964">
        <f>D9/C23*100</f>
        <v>55.956997790120703</v>
      </c>
    </row>
    <row r="10" spans="1:6" ht="57.75">
      <c r="A10" s="961"/>
      <c r="B10" s="347" t="s">
        <v>722</v>
      </c>
      <c r="C10" s="349">
        <v>0</v>
      </c>
      <c r="D10" s="963"/>
      <c r="E10" s="214">
        <f>C10/D9*100</f>
        <v>0</v>
      </c>
      <c r="F10" s="965"/>
    </row>
    <row r="11" spans="1:6" ht="29.25">
      <c r="A11" s="974" t="s">
        <v>723</v>
      </c>
      <c r="B11" s="347" t="s">
        <v>316</v>
      </c>
      <c r="C11" s="350">
        <v>0</v>
      </c>
      <c r="D11" s="962">
        <f>C11+C12+C13+C14</f>
        <v>4099902821</v>
      </c>
      <c r="E11" s="214">
        <v>0</v>
      </c>
      <c r="F11" s="964">
        <f>D11/C23*100</f>
        <v>2.6586347569550774</v>
      </c>
    </row>
    <row r="12" spans="1:6">
      <c r="A12" s="975"/>
      <c r="B12" s="350" t="s">
        <v>724</v>
      </c>
      <c r="C12" s="348">
        <v>262068277</v>
      </c>
      <c r="D12" s="971"/>
      <c r="E12" s="351">
        <f>C12/D11*100</f>
        <v>6.3920607009919177</v>
      </c>
      <c r="F12" s="973"/>
    </row>
    <row r="13" spans="1:6">
      <c r="A13" s="975"/>
      <c r="B13" s="347" t="s">
        <v>725</v>
      </c>
      <c r="C13" s="352">
        <v>295834544</v>
      </c>
      <c r="D13" s="971"/>
      <c r="E13" s="351">
        <f>C13/D11*100</f>
        <v>7.2156477096167739</v>
      </c>
      <c r="F13" s="973"/>
    </row>
    <row r="14" spans="1:6" ht="29.25">
      <c r="A14" s="976"/>
      <c r="B14" s="347" t="s">
        <v>726</v>
      </c>
      <c r="C14" s="352">
        <v>3542000000</v>
      </c>
      <c r="D14" s="963"/>
      <c r="E14" s="351">
        <f>C14/D11*100</f>
        <v>86.392291589391306</v>
      </c>
      <c r="F14" s="965"/>
    </row>
    <row r="15" spans="1:6" ht="29.25">
      <c r="A15" s="960" t="s">
        <v>379</v>
      </c>
      <c r="B15" s="347" t="s">
        <v>381</v>
      </c>
      <c r="C15" s="352">
        <v>184000000</v>
      </c>
      <c r="D15" s="962">
        <f>C15+C16</f>
        <v>425717734</v>
      </c>
      <c r="E15" s="351">
        <f>C15/D15*100</f>
        <v>43.221126418943122</v>
      </c>
      <c r="F15" s="964">
        <f>D15/C23*100</f>
        <v>0.2760621443189461</v>
      </c>
    </row>
    <row r="16" spans="1:6" ht="28.5" customHeight="1">
      <c r="A16" s="961"/>
      <c r="B16" s="350" t="s">
        <v>399</v>
      </c>
      <c r="C16" s="352">
        <v>241717734</v>
      </c>
      <c r="D16" s="963"/>
      <c r="E16" s="351">
        <f>C16/D15*100</f>
        <v>56.778873581056878</v>
      </c>
      <c r="F16" s="965"/>
    </row>
    <row r="17" spans="1:21" ht="29.25">
      <c r="A17" s="960" t="s">
        <v>727</v>
      </c>
      <c r="B17" s="347" t="s">
        <v>424</v>
      </c>
      <c r="C17" s="352">
        <v>252052566</v>
      </c>
      <c r="D17" s="962">
        <f>C17+C18</f>
        <v>252052566</v>
      </c>
      <c r="E17" s="214">
        <f>C17/D17*100</f>
        <v>100</v>
      </c>
      <c r="F17" s="964">
        <f>D17/C23*100</f>
        <v>0.16344673076516164</v>
      </c>
    </row>
    <row r="18" spans="1:21" ht="29.25">
      <c r="A18" s="961"/>
      <c r="B18" s="347" t="s">
        <v>436</v>
      </c>
      <c r="C18" s="350">
        <v>0</v>
      </c>
      <c r="D18" s="963"/>
      <c r="E18" s="214">
        <v>0</v>
      </c>
      <c r="F18" s="965"/>
    </row>
    <row r="19" spans="1:21" ht="29.25">
      <c r="A19" s="346" t="s">
        <v>728</v>
      </c>
      <c r="B19" s="347" t="s">
        <v>729</v>
      </c>
      <c r="C19" s="352">
        <v>392400000</v>
      </c>
      <c r="D19" s="353">
        <f>C19</f>
        <v>392400000</v>
      </c>
      <c r="E19" s="214">
        <f>D19/C19*100</f>
        <v>100</v>
      </c>
      <c r="F19" s="351">
        <f>D19/C23*100</f>
        <v>0.25445683085110676</v>
      </c>
    </row>
    <row r="20" spans="1:21" ht="29.25" customHeight="1">
      <c r="A20" s="960" t="s">
        <v>730</v>
      </c>
      <c r="B20" s="354" t="s">
        <v>731</v>
      </c>
      <c r="C20" s="967">
        <v>2272664045</v>
      </c>
      <c r="D20" s="970">
        <f>C20</f>
        <v>2272664045</v>
      </c>
      <c r="E20" s="972">
        <f>C20/D20*100</f>
        <v>100</v>
      </c>
      <c r="F20" s="964">
        <f>D20/C23*100</f>
        <v>1.4737382530070262</v>
      </c>
    </row>
    <row r="21" spans="1:21" ht="29.25" customHeight="1">
      <c r="A21" s="966"/>
      <c r="B21" s="354" t="s">
        <v>732</v>
      </c>
      <c r="C21" s="968"/>
      <c r="D21" s="971"/>
      <c r="E21" s="971"/>
      <c r="F21" s="973"/>
      <c r="U21" t="s">
        <v>733</v>
      </c>
    </row>
    <row r="22" spans="1:21" ht="29.25" customHeight="1">
      <c r="A22" s="961"/>
      <c r="B22" s="354" t="s">
        <v>544</v>
      </c>
      <c r="C22" s="969"/>
      <c r="D22" s="963"/>
      <c r="E22" s="963"/>
      <c r="F22" s="965"/>
    </row>
    <row r="23" spans="1:21">
      <c r="A23" s="958" t="s">
        <v>682</v>
      </c>
      <c r="B23" s="959"/>
      <c r="C23" s="355">
        <f>SUM(C4:C22)</f>
        <v>154210833597</v>
      </c>
      <c r="D23" s="355">
        <f>SUM(D4:D22)</f>
        <v>154210833597</v>
      </c>
      <c r="E23" s="356"/>
      <c r="F23" s="356">
        <f>SUM(F4:F22)</f>
        <v>100</v>
      </c>
    </row>
  </sheetData>
  <mergeCells count="25">
    <mergeCell ref="D15:D16"/>
    <mergeCell ref="D17:D18"/>
    <mergeCell ref="C20:C22"/>
    <mergeCell ref="D20:D22"/>
    <mergeCell ref="F11:F14"/>
    <mergeCell ref="F15:F16"/>
    <mergeCell ref="F17:F18"/>
    <mergeCell ref="E20:E22"/>
    <mergeCell ref="F20:F22"/>
    <mergeCell ref="A23:B23"/>
    <mergeCell ref="D4:D6"/>
    <mergeCell ref="A2:F2"/>
    <mergeCell ref="D7:D8"/>
    <mergeCell ref="D9:D10"/>
    <mergeCell ref="F4:F6"/>
    <mergeCell ref="F7:F8"/>
    <mergeCell ref="F9:F10"/>
    <mergeCell ref="A4:A6"/>
    <mergeCell ref="A7:A8"/>
    <mergeCell ref="A9:A10"/>
    <mergeCell ref="A11:A14"/>
    <mergeCell ref="A15:A16"/>
    <mergeCell ref="A17:A18"/>
    <mergeCell ref="A20:A22"/>
    <mergeCell ref="D11:D14"/>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45A2-8042-4E87-BB39-211DFA3914BF}">
  <dimension ref="A2:AJ127"/>
  <sheetViews>
    <sheetView topLeftCell="A35" workbookViewId="0">
      <selection activeCell="A31" sqref="A31:E45"/>
    </sheetView>
  </sheetViews>
  <sheetFormatPr defaultColWidth="11" defaultRowHeight="15"/>
  <cols>
    <col min="1" max="1" width="47.75" customWidth="1"/>
    <col min="2" max="2" width="10" customWidth="1"/>
    <col min="3" max="3" width="52.875" customWidth="1"/>
    <col min="4" max="4" width="45.625" customWidth="1"/>
    <col min="5" max="5" width="30" customWidth="1"/>
  </cols>
  <sheetData>
    <row r="2" spans="1:5" ht="39" customHeight="1">
      <c r="A2" s="939" t="s">
        <v>1253</v>
      </c>
      <c r="B2" s="1241"/>
      <c r="C2" s="1241"/>
      <c r="D2" s="1241"/>
      <c r="E2" s="1241"/>
    </row>
    <row r="3" spans="1:5" ht="29.25" customHeight="1">
      <c r="A3" s="1023" t="s">
        <v>743</v>
      </c>
      <c r="B3" s="1023"/>
      <c r="C3" s="1023"/>
      <c r="D3" s="1023"/>
      <c r="E3" s="1023"/>
    </row>
    <row r="4" spans="1:5" ht="15.75">
      <c r="A4" s="362" t="s">
        <v>713</v>
      </c>
      <c r="B4" s="362" t="s">
        <v>744</v>
      </c>
      <c r="C4" s="362" t="s">
        <v>745</v>
      </c>
      <c r="D4" s="362" t="s">
        <v>746</v>
      </c>
      <c r="E4" s="362" t="s">
        <v>714</v>
      </c>
    </row>
    <row r="5" spans="1:5" ht="135">
      <c r="A5" s="1242" t="s">
        <v>747</v>
      </c>
      <c r="B5" s="363" t="s">
        <v>67</v>
      </c>
      <c r="C5" s="1011" t="s">
        <v>66</v>
      </c>
      <c r="D5" s="364" t="s">
        <v>1254</v>
      </c>
      <c r="E5" s="1034">
        <v>648375074</v>
      </c>
    </row>
    <row r="6" spans="1:5" ht="45">
      <c r="A6" s="1242"/>
      <c r="B6" s="365"/>
      <c r="C6" s="1011"/>
      <c r="D6" s="364" t="s">
        <v>1255</v>
      </c>
      <c r="E6" s="1034"/>
    </row>
    <row r="7" spans="1:5" ht="30">
      <c r="A7" s="1242"/>
      <c r="B7" s="366"/>
      <c r="C7" s="1011"/>
      <c r="D7" s="364" t="s">
        <v>978</v>
      </c>
      <c r="E7" s="1034"/>
    </row>
    <row r="8" spans="1:5" ht="66" customHeight="1">
      <c r="A8" s="1011" t="s">
        <v>749</v>
      </c>
      <c r="B8" s="366"/>
      <c r="C8" s="1011" t="s">
        <v>88</v>
      </c>
      <c r="D8" s="364" t="s">
        <v>1256</v>
      </c>
      <c r="E8" s="1006">
        <v>114000000</v>
      </c>
    </row>
    <row r="9" spans="1:5" ht="45">
      <c r="A9" s="1011"/>
      <c r="B9" s="366"/>
      <c r="C9" s="1011"/>
      <c r="D9" s="364" t="s">
        <v>1257</v>
      </c>
      <c r="E9" s="1006"/>
    </row>
    <row r="10" spans="1:5" ht="30">
      <c r="A10" s="1011"/>
      <c r="B10" s="366"/>
      <c r="C10" s="1011"/>
      <c r="D10" s="364" t="s">
        <v>984</v>
      </c>
      <c r="E10" s="1006"/>
    </row>
    <row r="11" spans="1:5" ht="45">
      <c r="A11" s="1011"/>
      <c r="B11" s="366"/>
      <c r="C11" s="1011"/>
      <c r="D11" s="364" t="s">
        <v>1258</v>
      </c>
      <c r="E11" s="1006"/>
    </row>
    <row r="12" spans="1:5" ht="45" customHeight="1">
      <c r="A12" s="1011" t="s">
        <v>751</v>
      </c>
      <c r="B12" s="366"/>
      <c r="C12" s="1011" t="s">
        <v>752</v>
      </c>
      <c r="D12" s="364" t="s">
        <v>990</v>
      </c>
      <c r="E12" s="1006">
        <v>114000000</v>
      </c>
    </row>
    <row r="13" spans="1:5" ht="30">
      <c r="A13" s="1011"/>
      <c r="B13" s="366"/>
      <c r="C13" s="1011"/>
      <c r="D13" s="364" t="s">
        <v>992</v>
      </c>
      <c r="E13" s="1006"/>
    </row>
    <row r="14" spans="1:5" ht="30">
      <c r="A14" s="1011"/>
      <c r="B14" s="366"/>
      <c r="C14" s="1011"/>
      <c r="D14" s="364" t="s">
        <v>993</v>
      </c>
      <c r="E14" s="1006"/>
    </row>
    <row r="15" spans="1:5" ht="15.75">
      <c r="A15" s="367" t="s">
        <v>754</v>
      </c>
      <c r="B15" s="367"/>
      <c r="C15" s="367"/>
      <c r="D15" s="367"/>
      <c r="E15" s="368">
        <f>E12+E8+E5</f>
        <v>876375074</v>
      </c>
    </row>
    <row r="19" spans="1:36" ht="33.75" customHeight="1">
      <c r="A19" s="939" t="s">
        <v>1253</v>
      </c>
      <c r="B19" s="1241"/>
      <c r="C19" s="1241"/>
      <c r="D19" s="1241"/>
      <c r="E19" s="1241"/>
    </row>
    <row r="20" spans="1:36">
      <c r="A20" s="1023" t="s">
        <v>755</v>
      </c>
      <c r="B20" s="1023"/>
      <c r="C20" s="1023"/>
      <c r="D20" s="1023"/>
      <c r="E20" s="1023"/>
    </row>
    <row r="21" spans="1:36" ht="15.75">
      <c r="A21" s="362" t="s">
        <v>713</v>
      </c>
      <c r="B21" s="362" t="s">
        <v>744</v>
      </c>
      <c r="C21" s="362" t="s">
        <v>745</v>
      </c>
      <c r="D21" s="362" t="s">
        <v>746</v>
      </c>
      <c r="E21" s="362" t="s">
        <v>714</v>
      </c>
    </row>
    <row r="22" spans="1:36" ht="135">
      <c r="A22" s="1011" t="s">
        <v>239</v>
      </c>
      <c r="B22" s="363" t="s">
        <v>67</v>
      </c>
      <c r="C22" s="1012" t="s">
        <v>240</v>
      </c>
      <c r="D22" s="364" t="s">
        <v>1259</v>
      </c>
      <c r="E22" s="1013">
        <v>86291752748</v>
      </c>
    </row>
    <row r="23" spans="1:36" ht="30">
      <c r="A23" s="1011"/>
      <c r="B23" s="365"/>
      <c r="C23" s="1012"/>
      <c r="D23" s="364" t="s">
        <v>1260</v>
      </c>
      <c r="E23" s="1014"/>
    </row>
    <row r="24" spans="1:36" ht="108.75" customHeight="1">
      <c r="A24" s="1011"/>
      <c r="B24" s="365"/>
      <c r="C24" s="1012"/>
      <c r="D24" s="364" t="s">
        <v>257</v>
      </c>
      <c r="E24" s="1014"/>
    </row>
    <row r="25" spans="1:36" ht="54" customHeight="1">
      <c r="A25" s="1017" t="s">
        <v>756</v>
      </c>
      <c r="B25" s="366"/>
      <c r="C25" s="1017" t="s">
        <v>289</v>
      </c>
      <c r="D25" s="364" t="s">
        <v>1261</v>
      </c>
      <c r="E25" s="1014"/>
      <c r="H25" s="1276" t="s">
        <v>758</v>
      </c>
      <c r="AJ25" s="1276" t="s">
        <v>759</v>
      </c>
    </row>
    <row r="26" spans="1:36" ht="75">
      <c r="A26" s="1017"/>
      <c r="B26" s="366"/>
      <c r="C26" s="1017"/>
      <c r="D26" s="364" t="s">
        <v>1262</v>
      </c>
      <c r="E26" s="1015"/>
    </row>
    <row r="27" spans="1:36" ht="15.75">
      <c r="A27" s="367" t="s">
        <v>754</v>
      </c>
      <c r="B27" s="367"/>
      <c r="C27" s="367"/>
      <c r="D27" s="367"/>
      <c r="E27" s="368">
        <f>E22+E25</f>
        <v>86291752748</v>
      </c>
    </row>
    <row r="31" spans="1:36" ht="46.5" customHeight="1">
      <c r="A31" s="939" t="s">
        <v>1253</v>
      </c>
      <c r="B31" s="1241"/>
      <c r="C31" s="1241"/>
      <c r="D31" s="1241"/>
      <c r="E31" s="1241"/>
    </row>
    <row r="32" spans="1:36">
      <c r="A32" s="1023" t="s">
        <v>760</v>
      </c>
      <c r="B32" s="1023"/>
      <c r="C32" s="1023"/>
      <c r="D32" s="1023"/>
      <c r="E32" s="1023"/>
    </row>
    <row r="33" spans="1:5" ht="15.75">
      <c r="A33" s="362" t="s">
        <v>713</v>
      </c>
      <c r="B33" s="362" t="s">
        <v>744</v>
      </c>
      <c r="C33" s="362" t="s">
        <v>745</v>
      </c>
      <c r="D33" s="362" t="s">
        <v>746</v>
      </c>
      <c r="E33" s="362" t="s">
        <v>714</v>
      </c>
    </row>
    <row r="34" spans="1:5" ht="135">
      <c r="A34" s="1011" t="s">
        <v>761</v>
      </c>
      <c r="B34" s="363" t="s">
        <v>67</v>
      </c>
      <c r="C34" s="1012" t="s">
        <v>119</v>
      </c>
      <c r="D34" s="364" t="s">
        <v>762</v>
      </c>
      <c r="E34" s="1006">
        <v>3136460946</v>
      </c>
    </row>
    <row r="35" spans="1:5" ht="30">
      <c r="A35" s="1011"/>
      <c r="B35" s="365"/>
      <c r="C35" s="1012"/>
      <c r="D35" s="364" t="s">
        <v>1018</v>
      </c>
      <c r="E35" s="1006"/>
    </row>
    <row r="36" spans="1:5" ht="30">
      <c r="A36" s="1011"/>
      <c r="B36" s="365"/>
      <c r="C36" s="1012"/>
      <c r="D36" s="364" t="s">
        <v>1019</v>
      </c>
      <c r="E36" s="1006"/>
    </row>
    <row r="37" spans="1:5" ht="30">
      <c r="A37" s="1011"/>
      <c r="B37" s="365"/>
      <c r="C37" s="1012"/>
      <c r="D37" s="364" t="s">
        <v>1020</v>
      </c>
      <c r="E37" s="1006"/>
    </row>
    <row r="38" spans="1:5" ht="30">
      <c r="A38" s="1011"/>
      <c r="B38" s="365"/>
      <c r="C38" s="1012"/>
      <c r="D38" s="364" t="s">
        <v>1023</v>
      </c>
      <c r="E38" s="1006"/>
    </row>
    <row r="39" spans="1:5" ht="30">
      <c r="A39" s="1011"/>
      <c r="B39" s="365"/>
      <c r="C39" s="1012"/>
      <c r="D39" s="364" t="s">
        <v>164</v>
      </c>
      <c r="E39" s="1006"/>
    </row>
    <row r="40" spans="1:5" ht="15.75">
      <c r="A40" s="1011"/>
      <c r="B40" s="366"/>
      <c r="C40" s="1012"/>
      <c r="D40" s="364" t="s">
        <v>1263</v>
      </c>
      <c r="E40" s="1006"/>
    </row>
    <row r="41" spans="1:5" ht="30">
      <c r="A41" s="1016" t="s">
        <v>763</v>
      </c>
      <c r="B41" s="366"/>
      <c r="C41" s="1016" t="s">
        <v>193</v>
      </c>
      <c r="D41" s="364" t="s">
        <v>1264</v>
      </c>
      <c r="E41" s="1013">
        <v>56463507663</v>
      </c>
    </row>
    <row r="42" spans="1:5" ht="45">
      <c r="A42" s="1017"/>
      <c r="B42" s="366"/>
      <c r="C42" s="1017"/>
      <c r="D42" s="364" t="s">
        <v>764</v>
      </c>
      <c r="E42" s="1014"/>
    </row>
    <row r="43" spans="1:5" ht="120">
      <c r="A43" s="1017"/>
      <c r="B43" s="366"/>
      <c r="C43" s="1017"/>
      <c r="D43" s="364" t="s">
        <v>205</v>
      </c>
      <c r="E43" s="1014"/>
    </row>
    <row r="44" spans="1:5" ht="30">
      <c r="A44" s="1017"/>
      <c r="B44" s="366"/>
      <c r="C44" s="1017"/>
      <c r="D44" s="364" t="s">
        <v>210</v>
      </c>
      <c r="E44" s="1014"/>
    </row>
    <row r="45" spans="1:5" ht="15.75">
      <c r="A45" s="367" t="s">
        <v>754</v>
      </c>
      <c r="B45" s="367"/>
      <c r="C45" s="367"/>
      <c r="D45" s="367"/>
      <c r="E45" s="368">
        <f>E41+E34</f>
        <v>59599968609</v>
      </c>
    </row>
    <row r="47" spans="1:5" ht="34.5" customHeight="1">
      <c r="A47" s="939" t="s">
        <v>1253</v>
      </c>
      <c r="B47" s="1241"/>
      <c r="C47" s="1241"/>
      <c r="D47" s="1241"/>
      <c r="E47" s="1241"/>
    </row>
    <row r="48" spans="1:5">
      <c r="A48" s="1023" t="s">
        <v>765</v>
      </c>
      <c r="B48" s="1023"/>
      <c r="C48" s="1023"/>
      <c r="D48" s="1023"/>
      <c r="E48" s="1023"/>
    </row>
    <row r="49" spans="1:5" ht="15.75">
      <c r="A49" s="362" t="s">
        <v>713</v>
      </c>
      <c r="B49" s="362" t="s">
        <v>744</v>
      </c>
      <c r="C49" s="362" t="s">
        <v>745</v>
      </c>
      <c r="D49" s="362" t="s">
        <v>746</v>
      </c>
      <c r="E49" s="362" t="s">
        <v>714</v>
      </c>
    </row>
    <row r="50" spans="1:5" ht="135">
      <c r="A50" s="364" t="s">
        <v>766</v>
      </c>
      <c r="B50" s="363" t="s">
        <v>67</v>
      </c>
      <c r="C50" s="369" t="s">
        <v>317</v>
      </c>
      <c r="D50" s="364" t="s">
        <v>767</v>
      </c>
      <c r="E50" s="370">
        <v>0</v>
      </c>
    </row>
    <row r="51" spans="1:5" ht="30">
      <c r="A51" s="1011" t="s">
        <v>768</v>
      </c>
      <c r="B51" s="366"/>
      <c r="C51" s="1011" t="s">
        <v>325</v>
      </c>
      <c r="D51" s="364" t="s">
        <v>332</v>
      </c>
      <c r="E51" s="1006">
        <v>262068277</v>
      </c>
    </row>
    <row r="52" spans="1:5" ht="15.75">
      <c r="A52" s="1011"/>
      <c r="B52" s="366"/>
      <c r="C52" s="1011"/>
      <c r="D52" s="364" t="s">
        <v>769</v>
      </c>
      <c r="E52" s="1006"/>
    </row>
    <row r="53" spans="1:5" ht="30">
      <c r="A53" s="1011"/>
      <c r="B53" s="366"/>
      <c r="C53" s="1011"/>
      <c r="D53" s="364" t="s">
        <v>1265</v>
      </c>
      <c r="E53" s="1006"/>
    </row>
    <row r="54" spans="1:5" ht="45">
      <c r="A54" s="1016" t="s">
        <v>771</v>
      </c>
      <c r="B54" s="366"/>
      <c r="C54" s="1016" t="s">
        <v>346</v>
      </c>
      <c r="D54" s="364" t="s">
        <v>351</v>
      </c>
      <c r="E54" s="1013">
        <v>295834544</v>
      </c>
    </row>
    <row r="55" spans="1:5" ht="73.5" customHeight="1">
      <c r="A55" s="1017"/>
      <c r="B55" s="366"/>
      <c r="C55" s="1017"/>
      <c r="D55" s="364" t="s">
        <v>355</v>
      </c>
      <c r="E55" s="1014"/>
    </row>
    <row r="56" spans="1:5" ht="30">
      <c r="A56" s="1017"/>
      <c r="B56" s="366"/>
      <c r="C56" s="1017"/>
      <c r="D56" s="364" t="s">
        <v>1142</v>
      </c>
      <c r="E56" s="1014"/>
    </row>
    <row r="57" spans="1:5" ht="30">
      <c r="A57" s="1022"/>
      <c r="B57" s="366"/>
      <c r="C57" s="1022"/>
      <c r="D57" s="364" t="s">
        <v>359</v>
      </c>
      <c r="E57" s="1015"/>
    </row>
    <row r="58" spans="1:5" ht="90">
      <c r="A58" s="1016" t="s">
        <v>773</v>
      </c>
      <c r="B58" s="371"/>
      <c r="C58" s="1016" t="s">
        <v>366</v>
      </c>
      <c r="D58" s="372" t="s">
        <v>1266</v>
      </c>
      <c r="E58" s="1013">
        <v>3542000000</v>
      </c>
    </row>
    <row r="59" spans="1:5" ht="45">
      <c r="A59" s="1017"/>
      <c r="B59" s="366"/>
      <c r="C59" s="1017"/>
      <c r="D59" s="364" t="s">
        <v>1267</v>
      </c>
      <c r="E59" s="1014"/>
    </row>
    <row r="60" spans="1:5" ht="60">
      <c r="A60" s="1022"/>
      <c r="B60" s="366"/>
      <c r="C60" s="1022"/>
      <c r="D60" s="364" t="s">
        <v>1268</v>
      </c>
      <c r="E60" s="1015"/>
    </row>
    <row r="61" spans="1:5" ht="15.75">
      <c r="A61" s="367" t="s">
        <v>754</v>
      </c>
      <c r="B61" s="367"/>
      <c r="C61" s="367"/>
      <c r="D61" s="367"/>
      <c r="E61" s="368">
        <f>E58+E54+E51+E50</f>
        <v>4099902821</v>
      </c>
    </row>
    <row r="64" spans="1:5" ht="44.25" customHeight="1">
      <c r="A64" s="939" t="s">
        <v>1253</v>
      </c>
      <c r="B64" s="1241"/>
      <c r="C64" s="1241"/>
      <c r="D64" s="1241"/>
      <c r="E64" s="1241"/>
    </row>
    <row r="65" spans="1:5">
      <c r="A65" s="1023" t="s">
        <v>775</v>
      </c>
      <c r="B65" s="1023"/>
      <c r="C65" s="1023"/>
      <c r="D65" s="1023"/>
      <c r="E65" s="1023"/>
    </row>
    <row r="66" spans="1:5" ht="15.75">
      <c r="A66" s="362" t="s">
        <v>713</v>
      </c>
      <c r="B66" s="362" t="s">
        <v>744</v>
      </c>
      <c r="C66" s="362" t="s">
        <v>745</v>
      </c>
      <c r="D66" s="362" t="s">
        <v>746</v>
      </c>
      <c r="E66" s="362" t="s">
        <v>714</v>
      </c>
    </row>
    <row r="67" spans="1:5" ht="75">
      <c r="A67" s="1016" t="s">
        <v>776</v>
      </c>
      <c r="B67" s="363"/>
      <c r="C67" s="1016" t="s">
        <v>382</v>
      </c>
      <c r="D67" s="364" t="s">
        <v>1269</v>
      </c>
      <c r="E67" s="1013">
        <v>184000000</v>
      </c>
    </row>
    <row r="68" spans="1:5" ht="60">
      <c r="A68" s="1017"/>
      <c r="B68" s="362"/>
      <c r="C68" s="1017"/>
      <c r="D68" s="364" t="s">
        <v>391</v>
      </c>
      <c r="E68" s="1014"/>
    </row>
    <row r="69" spans="1:5" ht="75">
      <c r="A69" s="1017"/>
      <c r="B69" s="362"/>
      <c r="C69" s="1017"/>
      <c r="D69" s="364" t="s">
        <v>392</v>
      </c>
      <c r="E69" s="1014"/>
    </row>
    <row r="70" spans="1:5" ht="60">
      <c r="A70" s="1011" t="s">
        <v>779</v>
      </c>
      <c r="B70" s="366"/>
      <c r="C70" s="1011" t="s">
        <v>400</v>
      </c>
      <c r="D70" s="373" t="s">
        <v>1270</v>
      </c>
      <c r="E70" s="1006">
        <v>241717734</v>
      </c>
    </row>
    <row r="71" spans="1:5" ht="75">
      <c r="A71" s="1011"/>
      <c r="B71" s="366"/>
      <c r="C71" s="1011"/>
      <c r="D71" s="364" t="s">
        <v>412</v>
      </c>
      <c r="E71" s="1006"/>
    </row>
    <row r="72" spans="1:5" ht="45">
      <c r="A72" s="1011"/>
      <c r="B72" s="366"/>
      <c r="C72" s="1011"/>
      <c r="D72" s="364" t="s">
        <v>416</v>
      </c>
      <c r="E72" s="1006"/>
    </row>
    <row r="73" spans="1:5" ht="15.75">
      <c r="A73" s="367" t="s">
        <v>754</v>
      </c>
      <c r="B73" s="367"/>
      <c r="C73" s="367"/>
      <c r="D73" s="367"/>
      <c r="E73" s="368">
        <f>E67+E70</f>
        <v>425717734</v>
      </c>
    </row>
    <row r="77" spans="1:5" ht="47.25" customHeight="1">
      <c r="A77" s="939" t="s">
        <v>1253</v>
      </c>
      <c r="B77" s="1241"/>
      <c r="C77" s="1241"/>
      <c r="D77" s="1241"/>
      <c r="E77" s="1241"/>
    </row>
    <row r="78" spans="1:5">
      <c r="A78" s="1023" t="s">
        <v>781</v>
      </c>
      <c r="B78" s="1023"/>
      <c r="C78" s="1023"/>
      <c r="D78" s="1023"/>
      <c r="E78" s="1023"/>
    </row>
    <row r="79" spans="1:5" ht="15.75">
      <c r="A79" s="362" t="s">
        <v>713</v>
      </c>
      <c r="B79" s="362" t="s">
        <v>744</v>
      </c>
      <c r="C79" s="362" t="s">
        <v>745</v>
      </c>
      <c r="D79" s="362" t="s">
        <v>746</v>
      </c>
      <c r="E79" s="362" t="s">
        <v>714</v>
      </c>
    </row>
    <row r="80" spans="1:5" ht="82.5" customHeight="1">
      <c r="A80" s="374" t="s">
        <v>782</v>
      </c>
      <c r="B80" s="363"/>
      <c r="C80" s="374" t="s">
        <v>425</v>
      </c>
      <c r="D80" s="364" t="s">
        <v>430</v>
      </c>
      <c r="E80" s="375">
        <v>252052566</v>
      </c>
    </row>
    <row r="81" spans="1:5" ht="120">
      <c r="A81" s="364" t="s">
        <v>783</v>
      </c>
      <c r="B81" s="366"/>
      <c r="C81" s="364" t="s">
        <v>437</v>
      </c>
      <c r="D81" s="373" t="s">
        <v>442</v>
      </c>
      <c r="E81" s="370">
        <v>0</v>
      </c>
    </row>
    <row r="82" spans="1:5" ht="15.75">
      <c r="A82" s="367" t="s">
        <v>754</v>
      </c>
      <c r="B82" s="367"/>
      <c r="C82" s="367"/>
      <c r="D82" s="367"/>
      <c r="E82" s="368">
        <f>E80+E81</f>
        <v>252052566</v>
      </c>
    </row>
    <row r="85" spans="1:5" ht="42.75" customHeight="1">
      <c r="A85" s="939" t="s">
        <v>1253</v>
      </c>
      <c r="B85" s="1241"/>
      <c r="C85" s="1241"/>
      <c r="D85" s="1241"/>
      <c r="E85" s="1241"/>
    </row>
    <row r="86" spans="1:5">
      <c r="A86" s="1023" t="s">
        <v>784</v>
      </c>
      <c r="B86" s="1023"/>
      <c r="C86" s="1023"/>
      <c r="D86" s="1023"/>
      <c r="E86" s="1023"/>
    </row>
    <row r="87" spans="1:5" ht="15.75">
      <c r="A87" s="362" t="s">
        <v>713</v>
      </c>
      <c r="B87" s="362" t="s">
        <v>744</v>
      </c>
      <c r="C87" s="362" t="s">
        <v>745</v>
      </c>
      <c r="D87" s="362" t="s">
        <v>746</v>
      </c>
      <c r="E87" s="362" t="s">
        <v>714</v>
      </c>
    </row>
    <row r="88" spans="1:5" ht="60">
      <c r="A88" s="1016" t="s">
        <v>785</v>
      </c>
      <c r="B88" s="362"/>
      <c r="C88" s="1016" t="s">
        <v>448</v>
      </c>
      <c r="D88" s="364" t="s">
        <v>453</v>
      </c>
      <c r="E88" s="1026">
        <v>392400000</v>
      </c>
    </row>
    <row r="89" spans="1:5" ht="60">
      <c r="A89" s="1017"/>
      <c r="B89" s="362"/>
      <c r="C89" s="1017"/>
      <c r="D89" s="364" t="s">
        <v>1271</v>
      </c>
      <c r="E89" s="1027"/>
    </row>
    <row r="90" spans="1:5" ht="30">
      <c r="A90" s="1017"/>
      <c r="B90" s="362"/>
      <c r="C90" s="1017"/>
      <c r="D90" s="364" t="s">
        <v>461</v>
      </c>
      <c r="E90" s="1028"/>
    </row>
    <row r="91" spans="1:5" ht="15.75">
      <c r="A91" s="367" t="s">
        <v>754</v>
      </c>
      <c r="B91" s="367"/>
      <c r="C91" s="367"/>
      <c r="D91" s="367"/>
      <c r="E91" s="368">
        <f>E88</f>
        <v>392400000</v>
      </c>
    </row>
    <row r="94" spans="1:5" ht="44.25" customHeight="1">
      <c r="A94" s="939" t="s">
        <v>1253</v>
      </c>
      <c r="B94" s="1241"/>
      <c r="C94" s="1241"/>
      <c r="D94" s="1241"/>
      <c r="E94" s="1241"/>
    </row>
    <row r="95" spans="1:5">
      <c r="A95" s="1023" t="s">
        <v>788</v>
      </c>
      <c r="B95" s="1023"/>
      <c r="C95" s="1023"/>
      <c r="D95" s="1023"/>
      <c r="E95" s="1023"/>
    </row>
    <row r="96" spans="1:5" ht="15.75">
      <c r="A96" s="362" t="s">
        <v>713</v>
      </c>
      <c r="B96" s="362" t="s">
        <v>744</v>
      </c>
      <c r="C96" s="362" t="s">
        <v>745</v>
      </c>
      <c r="D96" s="362" t="s">
        <v>746</v>
      </c>
      <c r="E96" s="362" t="s">
        <v>714</v>
      </c>
    </row>
    <row r="97" spans="1:5" ht="75.75" customHeight="1">
      <c r="A97" s="1011" t="s">
        <v>789</v>
      </c>
      <c r="B97" s="362"/>
      <c r="C97" s="1011" t="s">
        <v>472</v>
      </c>
      <c r="D97" s="365" t="s">
        <v>1272</v>
      </c>
      <c r="E97" s="1013">
        <v>2272664045</v>
      </c>
    </row>
    <row r="98" spans="1:5" ht="30.75">
      <c r="A98" s="1011"/>
      <c r="B98" s="362"/>
      <c r="C98" s="1011"/>
      <c r="D98" s="365" t="s">
        <v>1273</v>
      </c>
      <c r="E98" s="1014"/>
    </row>
    <row r="99" spans="1:5" ht="30.75">
      <c r="A99" s="1016" t="s">
        <v>791</v>
      </c>
      <c r="B99" s="362"/>
      <c r="C99" s="1016" t="s">
        <v>792</v>
      </c>
      <c r="D99" s="376" t="s">
        <v>495</v>
      </c>
      <c r="E99" s="1014"/>
    </row>
    <row r="100" spans="1:5" ht="30.75">
      <c r="A100" s="1017"/>
      <c r="B100" s="362"/>
      <c r="C100" s="1017"/>
      <c r="D100" s="376" t="s">
        <v>1274</v>
      </c>
      <c r="E100" s="1014"/>
    </row>
    <row r="101" spans="1:5" ht="45.75">
      <c r="A101" s="1017"/>
      <c r="B101" s="362"/>
      <c r="C101" s="1017"/>
      <c r="D101" s="376" t="s">
        <v>525</v>
      </c>
      <c r="E101" s="1014"/>
    </row>
    <row r="102" spans="1:5" ht="60.75" customHeight="1">
      <c r="A102" s="1020" t="s">
        <v>793</v>
      </c>
      <c r="B102" s="362"/>
      <c r="C102" s="1016" t="s">
        <v>545</v>
      </c>
      <c r="D102" s="364" t="s">
        <v>551</v>
      </c>
      <c r="E102" s="1014"/>
    </row>
    <row r="103" spans="1:5" ht="15.75">
      <c r="A103" s="1243"/>
      <c r="B103" s="362"/>
      <c r="C103" s="1017"/>
      <c r="D103" s="364" t="s">
        <v>558</v>
      </c>
      <c r="E103" s="1014"/>
    </row>
    <row r="104" spans="1:5" ht="15.75">
      <c r="A104" s="1021"/>
      <c r="B104" s="362"/>
      <c r="C104" s="1022"/>
      <c r="D104" s="364" t="s">
        <v>1243</v>
      </c>
      <c r="E104" s="1015"/>
    </row>
    <row r="105" spans="1:5" ht="15.75">
      <c r="A105" s="367" t="s">
        <v>754</v>
      </c>
      <c r="B105" s="367"/>
      <c r="C105" s="367"/>
      <c r="D105" s="367"/>
      <c r="E105" s="368">
        <f>E102+E99+E97</f>
        <v>2272664045</v>
      </c>
    </row>
    <row r="109" spans="1:5" ht="15" customHeight="1">
      <c r="A109" s="1244" t="s">
        <v>1253</v>
      </c>
      <c r="B109" s="1245"/>
      <c r="C109" s="1246"/>
    </row>
    <row r="110" spans="1:5">
      <c r="A110" s="1247"/>
      <c r="B110" s="1248"/>
      <c r="C110" s="1249"/>
    </row>
    <row r="111" spans="1:5">
      <c r="A111" s="377" t="s">
        <v>795</v>
      </c>
      <c r="B111" s="377"/>
      <c r="C111" s="377" t="s">
        <v>714</v>
      </c>
    </row>
    <row r="112" spans="1:5" ht="32.25" customHeight="1">
      <c r="A112" s="382" t="s">
        <v>796</v>
      </c>
      <c r="B112" s="350"/>
      <c r="C112" s="380">
        <f>E15</f>
        <v>876375074</v>
      </c>
    </row>
    <row r="113" spans="1:5" ht="30">
      <c r="A113" s="383" t="s">
        <v>698</v>
      </c>
      <c r="B113" s="350"/>
      <c r="C113" s="380">
        <f>E45</f>
        <v>59599968609</v>
      </c>
    </row>
    <row r="114" spans="1:5">
      <c r="A114" s="384" t="s">
        <v>699</v>
      </c>
      <c r="B114" s="350"/>
      <c r="C114" s="380">
        <f>E27</f>
        <v>86291752748</v>
      </c>
    </row>
    <row r="115" spans="1:5">
      <c r="A115" s="384" t="s">
        <v>700</v>
      </c>
      <c r="B115" s="350"/>
      <c r="C115" s="380">
        <f>E61</f>
        <v>4099902821</v>
      </c>
    </row>
    <row r="116" spans="1:5" ht="30">
      <c r="A116" s="383" t="s">
        <v>701</v>
      </c>
      <c r="B116" s="350"/>
      <c r="C116" s="380">
        <f>E73</f>
        <v>425717734</v>
      </c>
    </row>
    <row r="117" spans="1:5" ht="30">
      <c r="A117" s="383" t="s">
        <v>702</v>
      </c>
      <c r="B117" s="350"/>
      <c r="C117" s="380">
        <f>E82</f>
        <v>252052566</v>
      </c>
    </row>
    <row r="118" spans="1:5" ht="30">
      <c r="A118" s="383" t="s">
        <v>703</v>
      </c>
      <c r="B118" s="350"/>
      <c r="C118" s="380">
        <f>E91</f>
        <v>392400000</v>
      </c>
    </row>
    <row r="119" spans="1:5" ht="30">
      <c r="A119" s="383" t="s">
        <v>704</v>
      </c>
      <c r="B119" s="350"/>
      <c r="C119" s="380">
        <f>E105</f>
        <v>2272664045</v>
      </c>
    </row>
    <row r="120" spans="1:5" ht="23.25">
      <c r="A120" s="384" t="s">
        <v>682</v>
      </c>
      <c r="B120" s="350"/>
      <c r="C120" s="381">
        <f>SUM(C112:C119)</f>
        <v>154210833597</v>
      </c>
      <c r="D120" s="328">
        <f>E120-C120</f>
        <v>0</v>
      </c>
      <c r="E120" s="12">
        <v>154210833597</v>
      </c>
    </row>
    <row r="124" spans="1:5">
      <c r="D124" s="379">
        <f>C120-C127</f>
        <v>0</v>
      </c>
    </row>
    <row r="127" spans="1:5">
      <c r="C127" s="378">
        <v>154210833597</v>
      </c>
    </row>
  </sheetData>
  <mergeCells count="62">
    <mergeCell ref="A102:A104"/>
    <mergeCell ref="C102:C104"/>
    <mergeCell ref="A109:C110"/>
    <mergeCell ref="E97:E104"/>
    <mergeCell ref="E88:E90"/>
    <mergeCell ref="A94:E94"/>
    <mergeCell ref="A95:E95"/>
    <mergeCell ref="A97:A98"/>
    <mergeCell ref="C97:C98"/>
    <mergeCell ref="A99:A101"/>
    <mergeCell ref="C99:C101"/>
    <mergeCell ref="A77:E77"/>
    <mergeCell ref="A78:E78"/>
    <mergeCell ref="A85:E85"/>
    <mergeCell ref="A86:E86"/>
    <mergeCell ref="A88:A90"/>
    <mergeCell ref="C88:C90"/>
    <mergeCell ref="A47:E47"/>
    <mergeCell ref="A48:E48"/>
    <mergeCell ref="A70:A72"/>
    <mergeCell ref="C70:C72"/>
    <mergeCell ref="E70:E72"/>
    <mergeCell ref="A54:A57"/>
    <mergeCell ref="C54:C57"/>
    <mergeCell ref="E54:E57"/>
    <mergeCell ref="A58:A60"/>
    <mergeCell ref="C58:C60"/>
    <mergeCell ref="E58:E60"/>
    <mergeCell ref="A64:E64"/>
    <mergeCell ref="A65:E65"/>
    <mergeCell ref="A67:A69"/>
    <mergeCell ref="C67:C69"/>
    <mergeCell ref="E67:E69"/>
    <mergeCell ref="A51:A53"/>
    <mergeCell ref="C51:C53"/>
    <mergeCell ref="E51:E53"/>
    <mergeCell ref="A25:A26"/>
    <mergeCell ref="C25:C26"/>
    <mergeCell ref="A31:E31"/>
    <mergeCell ref="A32:E32"/>
    <mergeCell ref="A34:A40"/>
    <mergeCell ref="C34:C40"/>
    <mergeCell ref="E34:E40"/>
    <mergeCell ref="E22:E26"/>
    <mergeCell ref="A22:A24"/>
    <mergeCell ref="C22:C24"/>
    <mergeCell ref="A41:A44"/>
    <mergeCell ref="C41:C44"/>
    <mergeCell ref="E41:E44"/>
    <mergeCell ref="A12:A14"/>
    <mergeCell ref="C12:C14"/>
    <mergeCell ref="E12:E14"/>
    <mergeCell ref="A19:E19"/>
    <mergeCell ref="A20:E20"/>
    <mergeCell ref="A8:A11"/>
    <mergeCell ref="C8:C11"/>
    <mergeCell ref="E8:E11"/>
    <mergeCell ref="A2:E2"/>
    <mergeCell ref="A3:E3"/>
    <mergeCell ref="A5:A7"/>
    <mergeCell ref="C5:C7"/>
    <mergeCell ref="E5:E7"/>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B65A-5539-49C7-A0AF-E10E665AD420}">
  <dimension ref="A1:I15"/>
  <sheetViews>
    <sheetView workbookViewId="0">
      <selection activeCell="E12" sqref="E12:E14"/>
    </sheetView>
  </sheetViews>
  <sheetFormatPr defaultColWidth="11" defaultRowHeight="15"/>
  <cols>
    <col min="2" max="2" width="39.25" customWidth="1"/>
    <col min="3" max="5" width="31" customWidth="1"/>
    <col min="6" max="6" width="46.125" customWidth="1"/>
    <col min="9" max="9" width="18.25" bestFit="1" customWidth="1"/>
  </cols>
  <sheetData>
    <row r="1" spans="1:9">
      <c r="A1" s="939" t="s">
        <v>1253</v>
      </c>
      <c r="B1" s="1241"/>
      <c r="C1" s="1241"/>
      <c r="D1" s="1241"/>
      <c r="E1" s="1241"/>
      <c r="F1" s="1241"/>
    </row>
    <row r="2" spans="1:9">
      <c r="A2" s="1023" t="s">
        <v>760</v>
      </c>
      <c r="B2" s="1023"/>
      <c r="C2" s="1023"/>
      <c r="D2" s="1023"/>
      <c r="E2" s="1023"/>
      <c r="F2" s="1023"/>
    </row>
    <row r="3" spans="1:9" ht="15.75">
      <c r="A3" s="362" t="s">
        <v>713</v>
      </c>
      <c r="B3" s="362" t="s">
        <v>745</v>
      </c>
      <c r="C3" s="362" t="s">
        <v>746</v>
      </c>
      <c r="D3" s="362" t="s">
        <v>1275</v>
      </c>
      <c r="E3" s="362" t="s">
        <v>714</v>
      </c>
      <c r="F3" s="362" t="s">
        <v>1276</v>
      </c>
    </row>
    <row r="4" spans="1:9" ht="75" customHeight="1">
      <c r="A4" s="1011" t="s">
        <v>761</v>
      </c>
      <c r="B4" s="1012" t="s">
        <v>119</v>
      </c>
      <c r="C4" s="364" t="s">
        <v>762</v>
      </c>
      <c r="D4" s="1016" t="s">
        <v>1277</v>
      </c>
      <c r="E4" s="1256">
        <v>3136460946</v>
      </c>
      <c r="F4" s="1006">
        <v>3136460946</v>
      </c>
    </row>
    <row r="5" spans="1:9" ht="30">
      <c r="A5" s="1011"/>
      <c r="B5" s="1012"/>
      <c r="C5" s="364" t="s">
        <v>1018</v>
      </c>
      <c r="D5" s="1017"/>
      <c r="E5" s="1256"/>
      <c r="F5" s="1006"/>
    </row>
    <row r="6" spans="1:9" ht="45">
      <c r="A6" s="1011"/>
      <c r="B6" s="1012"/>
      <c r="C6" s="364" t="s">
        <v>1019</v>
      </c>
      <c r="D6" s="1017"/>
      <c r="E6" s="1256"/>
      <c r="F6" s="1006"/>
    </row>
    <row r="7" spans="1:9" ht="30">
      <c r="A7" s="1011"/>
      <c r="B7" s="1012"/>
      <c r="C7" s="364" t="s">
        <v>1020</v>
      </c>
      <c r="D7" s="1017"/>
      <c r="E7" s="1256"/>
      <c r="F7" s="1006"/>
    </row>
    <row r="8" spans="1:9" ht="30">
      <c r="A8" s="1011"/>
      <c r="B8" s="1012"/>
      <c r="C8" s="364" t="s">
        <v>1023</v>
      </c>
      <c r="D8" s="1017"/>
      <c r="E8" s="1256"/>
      <c r="F8" s="1006"/>
    </row>
    <row r="9" spans="1:9" ht="30">
      <c r="A9" s="1011"/>
      <c r="B9" s="1012"/>
      <c r="C9" s="364" t="s">
        <v>164</v>
      </c>
      <c r="D9" s="1017"/>
      <c r="E9" s="1256"/>
      <c r="F9" s="1006"/>
    </row>
    <row r="10" spans="1:9" ht="30">
      <c r="A10" s="1011"/>
      <c r="B10" s="1012"/>
      <c r="C10" s="364" t="s">
        <v>1263</v>
      </c>
      <c r="D10" s="1022"/>
      <c r="E10" s="1256"/>
      <c r="F10" s="1006"/>
    </row>
    <row r="11" spans="1:9" ht="45">
      <c r="A11" s="1016" t="s">
        <v>763</v>
      </c>
      <c r="B11" s="1016" t="s">
        <v>193</v>
      </c>
      <c r="C11" s="364" t="s">
        <v>1264</v>
      </c>
      <c r="D11" s="388" t="s">
        <v>1278</v>
      </c>
      <c r="E11" s="386">
        <v>39777089283</v>
      </c>
      <c r="F11" s="1013">
        <v>56463507663</v>
      </c>
    </row>
    <row r="12" spans="1:9" ht="60" customHeight="1">
      <c r="A12" s="1017"/>
      <c r="B12" s="1017"/>
      <c r="C12" s="364" t="s">
        <v>764</v>
      </c>
      <c r="D12" s="1250" t="s">
        <v>1279</v>
      </c>
      <c r="E12" s="1253">
        <f>12547991965.475+4138426414.52</f>
        <v>16686418379.995001</v>
      </c>
      <c r="F12" s="1014"/>
    </row>
    <row r="13" spans="1:9" ht="180">
      <c r="A13" s="1017"/>
      <c r="B13" s="1017"/>
      <c r="C13" s="364" t="s">
        <v>205</v>
      </c>
      <c r="D13" s="1251"/>
      <c r="E13" s="1254"/>
      <c r="F13" s="1014"/>
      <c r="I13" s="387"/>
    </row>
    <row r="14" spans="1:9" ht="45">
      <c r="A14" s="1017"/>
      <c r="B14" s="1017"/>
      <c r="C14" s="364" t="s">
        <v>210</v>
      </c>
      <c r="D14" s="1252"/>
      <c r="E14" s="1255"/>
      <c r="F14" s="1014"/>
    </row>
    <row r="15" spans="1:9" ht="15.75">
      <c r="A15" s="367" t="s">
        <v>754</v>
      </c>
      <c r="B15" s="367"/>
      <c r="C15" s="367"/>
      <c r="D15" s="367"/>
      <c r="E15" s="367"/>
      <c r="F15" s="368">
        <f>F11+F4</f>
        <v>59599968609</v>
      </c>
    </row>
  </sheetData>
  <mergeCells count="12">
    <mergeCell ref="D12:D14"/>
    <mergeCell ref="E12:E14"/>
    <mergeCell ref="D4:D10"/>
    <mergeCell ref="E4:E10"/>
    <mergeCell ref="A1:F1"/>
    <mergeCell ref="A2:F2"/>
    <mergeCell ref="A4:A10"/>
    <mergeCell ref="B4:B10"/>
    <mergeCell ref="F4:F10"/>
    <mergeCell ref="A11:A14"/>
    <mergeCell ref="B11:B14"/>
    <mergeCell ref="F11:F14"/>
  </mergeCells>
  <pageMargins left="0.70866141732283472" right="0.70866141732283472" top="0.74803149606299213" bottom="0.74803149606299213" header="0.31496062992125984" footer="0.31496062992125984"/>
  <pageSetup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AAEA-32EF-4BB9-A715-F2DE07E846E5}">
  <dimension ref="A1:H18"/>
  <sheetViews>
    <sheetView view="pageBreakPreview" topLeftCell="B1" zoomScale="60" zoomScaleNormal="100" workbookViewId="0">
      <selection activeCell="M10" sqref="M10"/>
    </sheetView>
  </sheetViews>
  <sheetFormatPr defaultColWidth="11" defaultRowHeight="15"/>
  <cols>
    <col min="1" max="1" width="35.625" customWidth="1"/>
    <col min="2" max="2" width="34.125" customWidth="1"/>
    <col min="3" max="3" width="34.875" customWidth="1"/>
    <col min="4" max="4" width="51.875" customWidth="1"/>
    <col min="5" max="5" width="34.875" customWidth="1"/>
    <col min="6" max="6" width="41.375" customWidth="1"/>
    <col min="8" max="8" width="18.25" bestFit="1" customWidth="1"/>
  </cols>
  <sheetData>
    <row r="1" spans="1:8">
      <c r="A1" s="939" t="s">
        <v>1253</v>
      </c>
      <c r="B1" s="1241"/>
      <c r="C1" s="1241"/>
      <c r="D1" s="1241"/>
      <c r="E1" s="1241"/>
      <c r="F1" s="1241"/>
    </row>
    <row r="2" spans="1:8">
      <c r="A2" s="1023" t="s">
        <v>755</v>
      </c>
      <c r="B2" s="1023"/>
      <c r="C2" s="1023"/>
      <c r="D2" s="1023"/>
      <c r="E2" s="1023"/>
      <c r="F2" s="1023"/>
    </row>
    <row r="3" spans="1:8" ht="15.75">
      <c r="A3" s="362" t="s">
        <v>713</v>
      </c>
      <c r="B3" s="362" t="s">
        <v>745</v>
      </c>
      <c r="C3" s="362" t="s">
        <v>746</v>
      </c>
      <c r="D3" s="362" t="s">
        <v>1280</v>
      </c>
      <c r="E3" s="362" t="s">
        <v>714</v>
      </c>
      <c r="F3" s="362" t="s">
        <v>1276</v>
      </c>
    </row>
    <row r="4" spans="1:8" ht="150" customHeight="1">
      <c r="A4" s="1011" t="s">
        <v>239</v>
      </c>
      <c r="B4" s="1011" t="s">
        <v>240</v>
      </c>
      <c r="C4" s="1016" t="s">
        <v>1259</v>
      </c>
      <c r="D4" s="389" t="s">
        <v>1281</v>
      </c>
      <c r="E4" s="386">
        <f>39748140696+E5</f>
        <v>49488026185</v>
      </c>
      <c r="F4" s="1013">
        <v>86291752748</v>
      </c>
    </row>
    <row r="5" spans="1:8" ht="150" hidden="1" customHeight="1">
      <c r="A5" s="1011"/>
      <c r="B5" s="1011"/>
      <c r="C5" s="1022"/>
      <c r="D5" s="394" t="s">
        <v>1282</v>
      </c>
      <c r="E5" s="395">
        <f>7339885489+2400000000</f>
        <v>9739885489</v>
      </c>
      <c r="F5" s="1014"/>
    </row>
    <row r="6" spans="1:8" ht="30">
      <c r="A6" s="1011"/>
      <c r="B6" s="1011"/>
      <c r="C6" s="364" t="s">
        <v>1260</v>
      </c>
      <c r="D6" s="1018" t="s">
        <v>1283</v>
      </c>
      <c r="E6" s="1253">
        <v>22050000000</v>
      </c>
      <c r="F6" s="1014"/>
    </row>
    <row r="7" spans="1:8" ht="75">
      <c r="A7" s="1011"/>
      <c r="B7" s="1011"/>
      <c r="C7" s="364" t="s">
        <v>257</v>
      </c>
      <c r="D7" s="1029"/>
      <c r="E7" s="1255"/>
      <c r="F7" s="1014"/>
    </row>
    <row r="8" spans="1:8" ht="75" customHeight="1">
      <c r="A8" s="1011"/>
      <c r="B8" s="1011"/>
      <c r="C8" s="1016" t="s">
        <v>287</v>
      </c>
      <c r="D8" s="392" t="s">
        <v>1284</v>
      </c>
      <c r="E8" s="344">
        <f>9866922452+108650000+632690880</f>
        <v>10608263332</v>
      </c>
      <c r="F8" s="1014"/>
    </row>
    <row r="9" spans="1:8">
      <c r="A9" s="1011"/>
      <c r="B9" s="1011"/>
      <c r="C9" s="1017"/>
      <c r="D9" s="369" t="s">
        <v>1285</v>
      </c>
      <c r="E9" s="386">
        <v>1032521508.5</v>
      </c>
      <c r="F9" s="1014"/>
    </row>
    <row r="10" spans="1:8">
      <c r="A10" s="1011"/>
      <c r="B10" s="1011"/>
      <c r="C10" s="1017"/>
      <c r="D10" s="369" t="s">
        <v>1286</v>
      </c>
      <c r="E10" s="386">
        <v>335796722</v>
      </c>
      <c r="F10" s="1014"/>
    </row>
    <row r="11" spans="1:8">
      <c r="A11" s="1011"/>
      <c r="B11" s="1011"/>
      <c r="C11" s="1017"/>
      <c r="D11" s="369" t="s">
        <v>1287</v>
      </c>
      <c r="E11" s="386">
        <v>2777145000</v>
      </c>
      <c r="F11" s="1014"/>
    </row>
    <row r="12" spans="1:8" ht="60">
      <c r="A12" s="1017" t="s">
        <v>756</v>
      </c>
      <c r="B12" s="1017" t="s">
        <v>289</v>
      </c>
      <c r="C12" s="364" t="s">
        <v>1261</v>
      </c>
      <c r="D12" s="391"/>
      <c r="E12" s="390"/>
      <c r="F12" s="1014"/>
    </row>
    <row r="13" spans="1:8" ht="105">
      <c r="A13" s="1017"/>
      <c r="B13" s="1017"/>
      <c r="C13" s="364" t="s">
        <v>1262</v>
      </c>
      <c r="D13" s="369"/>
      <c r="E13" s="386"/>
      <c r="F13" s="1015"/>
    </row>
    <row r="14" spans="1:8" ht="15.75">
      <c r="A14" s="367" t="s">
        <v>754</v>
      </c>
      <c r="B14" s="367"/>
      <c r="C14" s="367"/>
      <c r="D14" s="367"/>
      <c r="E14" s="393">
        <f>E11+E10+E9+E8+E6+E4</f>
        <v>86291752747.5</v>
      </c>
      <c r="F14" s="368">
        <f>F4+F9</f>
        <v>86291752748</v>
      </c>
      <c r="H14" s="387">
        <f>F14-E14</f>
        <v>0.5</v>
      </c>
    </row>
    <row r="18" spans="8:8">
      <c r="H18">
        <f>7339885489+2400000000</f>
        <v>9739885489</v>
      </c>
    </row>
  </sheetData>
  <mergeCells count="11">
    <mergeCell ref="A12:A13"/>
    <mergeCell ref="A4:A11"/>
    <mergeCell ref="B4:B11"/>
    <mergeCell ref="A1:F1"/>
    <mergeCell ref="A2:F2"/>
    <mergeCell ref="C4:C5"/>
    <mergeCell ref="D6:D7"/>
    <mergeCell ref="E6:E7"/>
    <mergeCell ref="C8:C11"/>
    <mergeCell ref="F4:F13"/>
    <mergeCell ref="B12:B13"/>
  </mergeCells>
  <pageMargins left="0.70866141732283472" right="0.70866141732283472" top="0.74803149606299213" bottom="0.74803149606299213" header="0.31496062992125984" footer="0.31496062992125984"/>
  <pageSetup scale="52"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Avendaño</dc:creator>
  <cp:keywords/>
  <dc:description/>
  <cp:lastModifiedBy/>
  <cp:revision/>
  <dcterms:created xsi:type="dcterms:W3CDTF">2019-03-05T16:45:00Z</dcterms:created>
  <dcterms:modified xsi:type="dcterms:W3CDTF">2024-06-05T19:17:29Z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2058-11.2.0.9144</vt:lpwstr>
  </property>
</Properties>
</file>